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general\unidad_a\TECNOLOGÍA, INTERACTIVOS Y SISTEMAS\EXPEDIENTES\2022\EXPEDIENTES COMITE\3.- INFORME TÉCNICO\S-01669-2022 SUPERVISIÓN EMISIONES RTVE\INFORMES\"/>
    </mc:Choice>
  </mc:AlternateContent>
  <bookViews>
    <workbookView xWindow="0" yWindow="0" windowWidth="19200" windowHeight="7035" tabRatio="752"/>
  </bookViews>
  <sheets>
    <sheet name="ALTERNATIVA ADJUDICADA" sheetId="6" r:id="rId1"/>
    <sheet name="valoración" sheetId="5" r:id="rId2"/>
  </sheets>
  <definedNames>
    <definedName name="_xlnm.Print_Area" localSheetId="0">'ALTERNATIVA ADJUDICADA'!$A$1:$H$29</definedName>
    <definedName name="_xlnm.Print_Area" localSheetId="1">valoración!$A$2:$X$29</definedName>
  </definedNames>
  <calcPr calcId="162913"/>
</workbook>
</file>

<file path=xl/calcChain.xml><?xml version="1.0" encoding="utf-8"?>
<calcChain xmlns="http://schemas.openxmlformats.org/spreadsheetml/2006/main">
  <c r="L23" i="6" l="1"/>
  <c r="L16" i="6"/>
  <c r="K16" i="6"/>
  <c r="J16" i="6"/>
  <c r="L11" i="6"/>
  <c r="K11" i="6"/>
  <c r="J11" i="6"/>
  <c r="H10" i="6" l="1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AO22" i="5" l="1"/>
  <c r="AO21" i="5"/>
  <c r="AO20" i="5"/>
  <c r="AO19" i="5"/>
  <c r="AO18" i="5"/>
  <c r="AO17" i="5"/>
  <c r="AO16" i="5"/>
  <c r="AA22" i="5"/>
  <c r="AA21" i="5"/>
  <c r="AA20" i="5"/>
  <c r="AA19" i="5"/>
  <c r="AA18" i="5"/>
  <c r="AA17" i="5"/>
  <c r="AA16" i="5"/>
  <c r="T21" i="5"/>
  <c r="T19" i="5"/>
  <c r="T18" i="5"/>
  <c r="T17" i="5"/>
  <c r="T16" i="5"/>
  <c r="M22" i="5"/>
  <c r="M21" i="5"/>
  <c r="M20" i="5"/>
  <c r="M19" i="5"/>
  <c r="M18" i="5"/>
  <c r="M17" i="5"/>
  <c r="M16" i="5"/>
  <c r="F21" i="5"/>
  <c r="F20" i="5"/>
  <c r="F19" i="5"/>
  <c r="F18" i="5"/>
  <c r="F17" i="5"/>
  <c r="F16" i="5"/>
  <c r="AR24" i="5"/>
  <c r="AN24" i="5"/>
  <c r="AO24" i="5" s="1"/>
  <c r="AP24" i="5" s="1"/>
  <c r="AR23" i="5"/>
  <c r="AN23" i="5"/>
  <c r="AO23" i="5" s="1"/>
  <c r="AP23" i="5" s="1"/>
  <c r="AS23" i="5" s="1"/>
  <c r="AR22" i="5"/>
  <c r="AN22" i="5"/>
  <c r="AR21" i="5"/>
  <c r="AN21" i="5"/>
  <c r="AR20" i="5"/>
  <c r="AN20" i="5"/>
  <c r="AR19" i="5"/>
  <c r="AN19" i="5"/>
  <c r="AR18" i="5"/>
  <c r="AN18" i="5"/>
  <c r="AR17" i="5"/>
  <c r="AN17" i="5"/>
  <c r="AP16" i="5" s="1"/>
  <c r="AS16" i="5" s="1"/>
  <c r="AR16" i="5"/>
  <c r="AN16" i="5"/>
  <c r="AR15" i="5"/>
  <c r="AN15" i="5"/>
  <c r="AO15" i="5" s="1"/>
  <c r="AP15" i="5" s="1"/>
  <c r="AR14" i="5"/>
  <c r="AN14" i="5"/>
  <c r="AR13" i="5"/>
  <c r="AN13" i="5"/>
  <c r="AO13" i="5" s="1"/>
  <c r="AP13" i="5" s="1"/>
  <c r="AR12" i="5"/>
  <c r="AN12" i="5"/>
  <c r="AR11" i="5"/>
  <c r="AN11" i="5"/>
  <c r="AO11" i="5" s="1"/>
  <c r="AP11" i="5" s="1"/>
  <c r="AS11" i="5" s="1"/>
  <c r="AR10" i="5"/>
  <c r="AN10" i="5"/>
  <c r="AR9" i="5"/>
  <c r="AN9" i="5"/>
  <c r="AO14" i="5" s="1"/>
  <c r="AP14" i="5" s="1"/>
  <c r="AS14" i="5" s="1"/>
  <c r="AS24" i="5" l="1"/>
  <c r="AS13" i="5"/>
  <c r="AP21" i="5"/>
  <c r="AS21" i="5" s="1"/>
  <c r="AP19" i="5"/>
  <c r="AS19" i="5" s="1"/>
  <c r="AS15" i="5"/>
  <c r="AP22" i="5"/>
  <c r="AS22" i="5" s="1"/>
  <c r="AO12" i="5"/>
  <c r="AP12" i="5" s="1"/>
  <c r="AS12" i="5" s="1"/>
  <c r="AP20" i="5"/>
  <c r="AS20" i="5" s="1"/>
  <c r="AO9" i="5"/>
  <c r="AP9" i="5" s="1"/>
  <c r="AS9" i="5" s="1"/>
  <c r="AP17" i="5"/>
  <c r="AS17" i="5" s="1"/>
  <c r="AO10" i="5"/>
  <c r="AP10" i="5" s="1"/>
  <c r="AS10" i="5" s="1"/>
  <c r="AP18" i="5"/>
  <c r="AS18" i="5" s="1"/>
  <c r="P23" i="5"/>
  <c r="P16" i="5"/>
  <c r="P9" i="5"/>
  <c r="F15" i="5"/>
  <c r="G15" i="5" s="1"/>
  <c r="C25" i="5"/>
  <c r="AL24" i="5"/>
  <c r="AK23" i="5"/>
  <c r="AL23" i="5" s="1"/>
  <c r="AK24" i="5"/>
  <c r="AA24" i="5"/>
  <c r="AA15" i="5"/>
  <c r="AB15" i="5" s="1"/>
  <c r="T24" i="5"/>
  <c r="T15" i="5"/>
  <c r="M24" i="5"/>
  <c r="M15" i="5"/>
  <c r="N15" i="5" s="1"/>
  <c r="F24" i="5"/>
  <c r="F22" i="5"/>
  <c r="G22" i="5" s="1"/>
  <c r="AG24" i="5"/>
  <c r="AG23" i="5"/>
  <c r="AH23" i="5" s="1"/>
  <c r="AI23" i="5" s="1"/>
  <c r="AK22" i="5"/>
  <c r="AG22" i="5"/>
  <c r="AH22" i="5" s="1"/>
  <c r="AK21" i="5"/>
  <c r="AG21" i="5"/>
  <c r="AH21" i="5" s="1"/>
  <c r="AI21" i="5" s="1"/>
  <c r="AL21" i="5" s="1"/>
  <c r="AK20" i="5"/>
  <c r="AG20" i="5"/>
  <c r="AH20" i="5" s="1"/>
  <c r="AI20" i="5" s="1"/>
  <c r="AL20" i="5" s="1"/>
  <c r="AK19" i="5"/>
  <c r="AH19" i="5"/>
  <c r="AI19" i="5" s="1"/>
  <c r="AG19" i="5"/>
  <c r="AK18" i="5"/>
  <c r="AG18" i="5"/>
  <c r="AH18" i="5" s="1"/>
  <c r="AI18" i="5" s="1"/>
  <c r="AL18" i="5" s="1"/>
  <c r="AK17" i="5"/>
  <c r="AG17" i="5"/>
  <c r="AH17" i="5" s="1"/>
  <c r="AI17" i="5" s="1"/>
  <c r="AL17" i="5" s="1"/>
  <c r="AK16" i="5"/>
  <c r="AG16" i="5"/>
  <c r="AH16" i="5" s="1"/>
  <c r="AI16" i="5" s="1"/>
  <c r="AL16" i="5" s="1"/>
  <c r="AK15" i="5"/>
  <c r="AG15" i="5"/>
  <c r="AK14" i="5"/>
  <c r="AG14" i="5"/>
  <c r="AK13" i="5"/>
  <c r="AG13" i="5"/>
  <c r="AK12" i="5"/>
  <c r="AG12" i="5"/>
  <c r="AK11" i="5"/>
  <c r="AG11" i="5"/>
  <c r="AK10" i="5"/>
  <c r="AG10" i="5"/>
  <c r="AK9" i="5"/>
  <c r="AG9" i="5"/>
  <c r="AE10" i="5"/>
  <c r="AE11" i="5"/>
  <c r="AE12" i="5"/>
  <c r="AE13" i="5"/>
  <c r="AE14" i="5"/>
  <c r="AD16" i="5"/>
  <c r="AD17" i="5"/>
  <c r="AD18" i="5"/>
  <c r="AD19" i="5"/>
  <c r="AD10" i="5"/>
  <c r="AD11" i="5"/>
  <c r="AD12" i="5"/>
  <c r="AD13" i="5"/>
  <c r="AD14" i="5"/>
  <c r="AD15" i="5"/>
  <c r="Z15" i="5"/>
  <c r="AD9" i="5"/>
  <c r="S15" i="5"/>
  <c r="N9" i="5"/>
  <c r="L15" i="5"/>
  <c r="F23" i="5"/>
  <c r="AD22" i="5"/>
  <c r="Z22" i="5"/>
  <c r="W22" i="5"/>
  <c r="S22" i="5"/>
  <c r="L22" i="5"/>
  <c r="I22" i="5"/>
  <c r="AD21" i="5"/>
  <c r="Z21" i="5"/>
  <c r="W21" i="5"/>
  <c r="S21" i="5"/>
  <c r="L21" i="5"/>
  <c r="I21" i="5"/>
  <c r="G21" i="5"/>
  <c r="Z24" i="5"/>
  <c r="Z23" i="5"/>
  <c r="AA23" i="5" s="1"/>
  <c r="AB23" i="5" s="1"/>
  <c r="Z20" i="5"/>
  <c r="Z19" i="5"/>
  <c r="Z18" i="5"/>
  <c r="Z17" i="5"/>
  <c r="Z16" i="5"/>
  <c r="AB16" i="5" s="1"/>
  <c r="Z14" i="5"/>
  <c r="AA14" i="5" s="1"/>
  <c r="AB14" i="5" s="1"/>
  <c r="Z13" i="5"/>
  <c r="Z12" i="5"/>
  <c r="Z11" i="5"/>
  <c r="Z10" i="5"/>
  <c r="Z9" i="5"/>
  <c r="S11" i="5"/>
  <c r="L11" i="5"/>
  <c r="F11" i="5"/>
  <c r="G11" i="5" s="1"/>
  <c r="S12" i="5"/>
  <c r="L12" i="5"/>
  <c r="F12" i="5"/>
  <c r="G12" i="5" s="1"/>
  <c r="F9" i="5"/>
  <c r="F10" i="5"/>
  <c r="F13" i="5"/>
  <c r="F14" i="5"/>
  <c r="G14" i="5" s="1"/>
  <c r="G19" i="5"/>
  <c r="G20" i="5"/>
  <c r="S19" i="5"/>
  <c r="L19" i="5"/>
  <c r="S20" i="5"/>
  <c r="L20" i="5"/>
  <c r="S14" i="5"/>
  <c r="L14" i="5"/>
  <c r="AS25" i="5" l="1"/>
  <c r="AE15" i="5"/>
  <c r="AH12" i="5"/>
  <c r="AI12" i="5" s="1"/>
  <c r="AL12" i="5" s="1"/>
  <c r="AH11" i="5"/>
  <c r="AI11" i="5" s="1"/>
  <c r="AL11" i="5" s="1"/>
  <c r="AH9" i="5"/>
  <c r="AI9" i="5" s="1"/>
  <c r="AL9" i="5" s="1"/>
  <c r="AH13" i="5"/>
  <c r="AI13" i="5" s="1"/>
  <c r="AL13" i="5" s="1"/>
  <c r="AH10" i="5"/>
  <c r="AI10" i="5" s="1"/>
  <c r="AL10" i="5" s="1"/>
  <c r="AH15" i="5"/>
  <c r="AI15" i="5" s="1"/>
  <c r="AL15" i="5" s="1"/>
  <c r="AH14" i="5"/>
  <c r="AI14" i="5" s="1"/>
  <c r="AL14" i="5" s="1"/>
  <c r="AH24" i="5"/>
  <c r="AI24" i="5" s="1"/>
  <c r="AL19" i="5"/>
  <c r="AB24" i="5"/>
  <c r="AI22" i="5"/>
  <c r="AL22" i="5" s="1"/>
  <c r="AA12" i="5"/>
  <c r="AB12" i="5" s="1"/>
  <c r="AA9" i="5"/>
  <c r="AB9" i="5" s="1"/>
  <c r="AE9" i="5" s="1"/>
  <c r="AA10" i="5"/>
  <c r="AB10" i="5" s="1"/>
  <c r="AA11" i="5"/>
  <c r="AB11" i="5" s="1"/>
  <c r="AA13" i="5"/>
  <c r="AB13" i="5" s="1"/>
  <c r="J22" i="5"/>
  <c r="J21" i="5"/>
  <c r="AB20" i="5"/>
  <c r="AB22" i="5"/>
  <c r="AE22" i="5" s="1"/>
  <c r="AB21" i="5"/>
  <c r="AE21" i="5" s="1"/>
  <c r="AB17" i="5"/>
  <c r="AB18" i="5"/>
  <c r="AB19" i="5"/>
  <c r="H9" i="6"/>
  <c r="AL25" i="5" l="1"/>
  <c r="A4" i="6"/>
  <c r="A3" i="6"/>
  <c r="A2" i="6"/>
  <c r="C25" i="6" l="1"/>
  <c r="S24" i="5"/>
  <c r="L24" i="5"/>
  <c r="G24" i="5"/>
  <c r="S23" i="5"/>
  <c r="L23" i="5"/>
  <c r="G23" i="5"/>
  <c r="S18" i="5"/>
  <c r="L18" i="5"/>
  <c r="G18" i="5"/>
  <c r="S17" i="5"/>
  <c r="L17" i="5"/>
  <c r="G17" i="5"/>
  <c r="S16" i="5"/>
  <c r="L16" i="5"/>
  <c r="N22" i="5" s="1"/>
  <c r="G16" i="5"/>
  <c r="U15" i="5"/>
  <c r="S13" i="5"/>
  <c r="L13" i="5"/>
  <c r="G13" i="5"/>
  <c r="S10" i="5"/>
  <c r="L10" i="5"/>
  <c r="G10" i="5"/>
  <c r="S9" i="5"/>
  <c r="L9" i="5"/>
  <c r="G9" i="5"/>
  <c r="U21" i="5" l="1"/>
  <c r="X21" i="5" s="1"/>
  <c r="U22" i="5"/>
  <c r="X22" i="5" s="1"/>
  <c r="N21" i="5"/>
  <c r="AD23" i="5"/>
  <c r="AE23" i="5" s="1"/>
  <c r="AE16" i="5"/>
  <c r="AE17" i="5"/>
  <c r="AD20" i="5"/>
  <c r="AE20" i="5" s="1"/>
  <c r="AE19" i="5"/>
  <c r="AE25" i="5" s="1"/>
  <c r="AE18" i="5"/>
  <c r="P11" i="5"/>
  <c r="I12" i="5"/>
  <c r="J12" i="5" s="1"/>
  <c r="W11" i="5"/>
  <c r="P12" i="5"/>
  <c r="I11" i="5"/>
  <c r="J11" i="5" s="1"/>
  <c r="W12" i="5"/>
  <c r="M11" i="5"/>
  <c r="N11" i="5" s="1"/>
  <c r="M12" i="5"/>
  <c r="N12" i="5" s="1"/>
  <c r="T12" i="5"/>
  <c r="U12" i="5" s="1"/>
  <c r="T11" i="5"/>
  <c r="U11" i="5" s="1"/>
  <c r="T14" i="5"/>
  <c r="U14" i="5" s="1"/>
  <c r="N20" i="5"/>
  <c r="N19" i="5"/>
  <c r="U20" i="5"/>
  <c r="U19" i="5"/>
  <c r="I19" i="5"/>
  <c r="J19" i="5" s="1"/>
  <c r="I20" i="5"/>
  <c r="J20" i="5" s="1"/>
  <c r="W20" i="5"/>
  <c r="W19" i="5"/>
  <c r="M14" i="5"/>
  <c r="N14" i="5" s="1"/>
  <c r="W14" i="5"/>
  <c r="P14" i="5"/>
  <c r="I14" i="5"/>
  <c r="J14" i="5" s="1"/>
  <c r="W15" i="5"/>
  <c r="X15" i="5" s="1"/>
  <c r="T9" i="5"/>
  <c r="U9" i="5" s="1"/>
  <c r="M13" i="5"/>
  <c r="N13" i="5" s="1"/>
  <c r="W10" i="5"/>
  <c r="I16" i="5"/>
  <c r="J16" i="5" s="1"/>
  <c r="I18" i="5"/>
  <c r="J18" i="5" s="1"/>
  <c r="I13" i="5"/>
  <c r="J13" i="5" s="1"/>
  <c r="N18" i="5"/>
  <c r="U17" i="5"/>
  <c r="P15" i="5"/>
  <c r="Q15" i="5" s="1"/>
  <c r="P17" i="5"/>
  <c r="M23" i="5"/>
  <c r="N23" i="5" s="1"/>
  <c r="I17" i="5"/>
  <c r="J17" i="5" s="1"/>
  <c r="U24" i="5"/>
  <c r="I9" i="5"/>
  <c r="J9" i="5" s="1"/>
  <c r="I10" i="5"/>
  <c r="J10" i="5" s="1"/>
  <c r="P13" i="5"/>
  <c r="N16" i="5"/>
  <c r="T23" i="5"/>
  <c r="U23" i="5" s="1"/>
  <c r="M10" i="5"/>
  <c r="N10" i="5" s="1"/>
  <c r="W23" i="5"/>
  <c r="P10" i="5"/>
  <c r="W13" i="5"/>
  <c r="T13" i="5"/>
  <c r="U13" i="5" s="1"/>
  <c r="T10" i="5"/>
  <c r="U10" i="5" s="1"/>
  <c r="I15" i="5"/>
  <c r="J15" i="5" s="1"/>
  <c r="W17" i="5"/>
  <c r="W18" i="5"/>
  <c r="I24" i="5"/>
  <c r="J24" i="5" s="1"/>
  <c r="W16" i="5"/>
  <c r="I23" i="5"/>
  <c r="J23" i="5" s="1"/>
  <c r="N17" i="5"/>
  <c r="M9" i="5"/>
  <c r="U16" i="5"/>
  <c r="N24" i="5"/>
  <c r="U18" i="5"/>
  <c r="J25" i="5" l="1"/>
  <c r="X11" i="5"/>
  <c r="Q11" i="5"/>
  <c r="Q12" i="5"/>
  <c r="X14" i="5"/>
  <c r="X12" i="5"/>
  <c r="X20" i="5"/>
  <c r="X19" i="5"/>
  <c r="X17" i="5"/>
  <c r="Q14" i="5"/>
  <c r="X18" i="5"/>
  <c r="Q9" i="5"/>
  <c r="X16" i="5"/>
  <c r="Q17" i="5"/>
  <c r="Q23" i="5"/>
  <c r="Q10" i="5"/>
  <c r="X10" i="5"/>
  <c r="Q13" i="5"/>
  <c r="X23" i="5"/>
  <c r="X13" i="5"/>
  <c r="Q16" i="5"/>
  <c r="Q25" i="5" l="1"/>
  <c r="X25" i="5"/>
</calcChain>
</file>

<file path=xl/sharedStrings.xml><?xml version="1.0" encoding="utf-8"?>
<sst xmlns="http://schemas.openxmlformats.org/spreadsheetml/2006/main" count="116" uniqueCount="44">
  <si>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</si>
  <si>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</si>
  <si>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</si>
  <si>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</si>
  <si>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</si>
  <si>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</si>
  <si>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</si>
  <si>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</si>
  <si>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</si>
  <si>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</si>
  <si>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</si>
  <si>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</si>
  <si>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</si>
  <si>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</si>
  <si>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</si>
  <si>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</si>
  <si>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</si>
  <si>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</si>
  <si>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</si>
  <si>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>PROPUESTA DE ADJUDICACIÓN DEL EXPEDIENTE S-01669-2022</t>
  </si>
  <si>
    <t>"Sistema de Supervisión de las Emisiones de RTVE"</t>
  </si>
  <si>
    <t xml:space="preserve">LOTE 1: Adquisición y puesta en marcha de un sistema de supervisión de las emisiones </t>
  </si>
  <si>
    <t>LOTE 2: Adquisición y puesta en marcha de un sistema de grabación de las señales de continuidad y control central</t>
  </si>
  <si>
    <t>LOTE 3: Adquisición y puesta en marcha de un sistema de supervisión de señales SDI</t>
  </si>
  <si>
    <r>
      <t>Importe Oferta</t>
    </r>
    <r>
      <rPr>
        <b/>
        <i/>
        <sz val="12"/>
        <rFont val="Tahoma"/>
        <family val="2"/>
      </rPr>
      <t xml:space="preserve"> </t>
    </r>
  </si>
  <si>
    <t>Alternativa 2: oferta conjunta "ABACANTO" para lote 1  (1,5% descuento) y lote 2  (3% descuento)</t>
  </si>
  <si>
    <t>Alternativa 3: oferta conjunta "CIRES 21" para lote 1 (0%descuento) y lote 2 (41,56% descuento)</t>
  </si>
  <si>
    <t>Alternativa 4: oferta conjunta "DATOS MEDIA" para el lote 2 (0% descuento) y para lote 3 (10% descuento)</t>
  </si>
  <si>
    <t>Alternativa 5: oferta conjunta "UNITECNIC" para el lote 1 (5% dtº), para lote 2 (12% dtº)y para el lote 3 (20% dtº)</t>
  </si>
  <si>
    <t>ABACANTO SOLUCIONES,SL</t>
  </si>
  <si>
    <t>AICOX SOLUCIONES, SA</t>
  </si>
  <si>
    <t>CIRES 21, SL</t>
  </si>
  <si>
    <t>MERCURY TELECOM, SL</t>
  </si>
  <si>
    <t>MONITORIZACIÓN Y MEDIDAS, SL</t>
  </si>
  <si>
    <t>SOCIEDAD ANONIMA PRODUCTOS</t>
  </si>
  <si>
    <t xml:space="preserve">SERV.INTEG. UNITECNIC, SL </t>
  </si>
  <si>
    <t>DATOS MEDIA TECHNOLOGIES, SA</t>
  </si>
  <si>
    <t>PROVITEC INSTL. SISTEMAS, SL</t>
  </si>
  <si>
    <t>Alternativa 5: oferta conjunta "AICOX" para el lote 1 (0% dtº), para lote 2 (34,15 %) PERO CONDICIONADA</t>
  </si>
  <si>
    <t xml:space="preserve">Valor estimado            </t>
  </si>
  <si>
    <t xml:space="preserve">Valor estimado              </t>
  </si>
  <si>
    <t xml:space="preserve">Importe Oferta  </t>
  </si>
  <si>
    <t>Madrid, a 21 de julio de 2022</t>
  </si>
  <si>
    <t>ninguna oferta de las adjudicadas es anormal o desproporcionada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</si>
</sst>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0.0%"/>
  </numFmts>
  <fonts count="20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65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166" fontId="6" fillId="0" borderId="18" xfId="0" applyNumberFormat="1" applyFont="1" applyFill="1" applyBorder="1" applyAlignment="1">
      <alignment horizontal="right" vertical="center" indent="1"/>
    </xf>
    <xf numFmtId="4" fontId="6" fillId="0" borderId="19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43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43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43" fontId="5" fillId="0" borderId="17" xfId="2" applyFont="1" applyFill="1" applyBorder="1" applyAlignment="1">
      <alignment horizontal="center" vertical="center"/>
    </xf>
    <xf numFmtId="0" fontId="9" fillId="0" borderId="20" xfId="0" applyNumberFormat="1" applyFont="1" applyFill="1" applyBorder="1" applyAlignment="1">
      <alignment horizontal="right" vertical="center" wrapText="1"/>
    </xf>
    <xf numFmtId="166" fontId="17" fillId="0" borderId="20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6" xfId="0" applyFont="1" applyFill="1" applyBorder="1"/>
    <xf numFmtId="0" fontId="1" fillId="0" borderId="12" xfId="0" applyFont="1" applyFill="1" applyBorder="1"/>
    <xf numFmtId="4" fontId="6" fillId="4" borderId="16" xfId="0" applyNumberFormat="1" applyFont="1" applyFill="1" applyBorder="1" applyAlignment="1">
      <alignment horizontal="right" vertical="center" indent="1"/>
    </xf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6" fillId="0" borderId="23" xfId="0" applyNumberFormat="1" applyFont="1" applyFill="1" applyBorder="1" applyAlignment="1">
      <alignment horizontal="left" vertical="top" wrapText="1"/>
    </xf>
    <xf numFmtId="43" fontId="5" fillId="0" borderId="24" xfId="2" applyFont="1" applyFill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right" vertical="center" indent="1"/>
    </xf>
    <xf numFmtId="4" fontId="6" fillId="4" borderId="12" xfId="0" applyNumberFormat="1" applyFont="1" applyFill="1" applyBorder="1" applyAlignment="1">
      <alignment horizontal="right" vertical="center" indent="1"/>
    </xf>
    <xf numFmtId="4" fontId="6" fillId="0" borderId="13" xfId="0" applyNumberFormat="1" applyFont="1" applyFill="1" applyBorder="1" applyAlignment="1">
      <alignment horizontal="right" vertical="center" indent="1"/>
    </xf>
    <xf numFmtId="166" fontId="6" fillId="4" borderId="16" xfId="0" applyNumberFormat="1" applyFont="1" applyFill="1" applyBorder="1" applyAlignment="1">
      <alignment horizontal="right" vertical="center" indent="1"/>
    </xf>
    <xf numFmtId="0" fontId="0" fillId="5" borderId="0" xfId="0" applyFill="1"/>
    <xf numFmtId="166" fontId="6" fillId="5" borderId="12" xfId="0" applyNumberFormat="1" applyFont="1" applyFill="1" applyBorder="1" applyAlignment="1">
      <alignment horizontal="right" vertical="center" indent="1"/>
    </xf>
    <xf numFmtId="4" fontId="6" fillId="5" borderId="12" xfId="0" applyNumberFormat="1" applyFont="1" applyFill="1" applyBorder="1" applyAlignment="1">
      <alignment horizontal="right" vertical="center" indent="1"/>
    </xf>
    <xf numFmtId="166" fontId="6" fillId="5" borderId="2" xfId="0" applyNumberFormat="1" applyFont="1" applyFill="1" applyBorder="1" applyAlignment="1">
      <alignment horizontal="right" vertical="center" indent="1"/>
    </xf>
    <xf numFmtId="4" fontId="6" fillId="5" borderId="2" xfId="0" applyNumberFormat="1" applyFont="1" applyFill="1" applyBorder="1" applyAlignment="1">
      <alignment horizontal="right" vertical="center" indent="1"/>
    </xf>
    <xf numFmtId="166" fontId="6" fillId="5" borderId="16" xfId="0" applyNumberFormat="1" applyFont="1" applyFill="1" applyBorder="1" applyAlignment="1">
      <alignment horizontal="right" vertical="center" indent="1"/>
    </xf>
    <xf numFmtId="4" fontId="6" fillId="5" borderId="16" xfId="0" applyNumberFormat="1" applyFont="1" applyFill="1" applyBorder="1" applyAlignment="1">
      <alignment horizontal="right" vertical="center" indent="1"/>
    </xf>
    <xf numFmtId="0" fontId="4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5" fillId="5" borderId="6" xfId="0" applyFont="1" applyFill="1" applyBorder="1"/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18" xfId="0" applyNumberFormat="1" applyFont="1" applyFill="1" applyBorder="1" applyAlignment="1">
      <alignment horizontal="left" vertical="center" wrapText="1"/>
    </xf>
    <xf numFmtId="0" fontId="6" fillId="0" borderId="15" xfId="0" applyNumberFormat="1" applyFont="1" applyFill="1" applyBorder="1" applyAlignment="1">
      <alignment horizontal="left" vertical="center" wrapText="1"/>
    </xf>
    <xf numFmtId="166" fontId="6" fillId="5" borderId="7" xfId="0" applyNumberFormat="1" applyFont="1" applyFill="1" applyBorder="1" applyAlignment="1">
      <alignment horizontal="right" vertical="center" indent="1"/>
    </xf>
    <xf numFmtId="3" fontId="6" fillId="0" borderId="13" xfId="0" applyNumberFormat="1" applyFont="1" applyFill="1" applyBorder="1" applyAlignment="1">
      <alignment horizontal="center" vertical="center"/>
    </xf>
    <xf numFmtId="166" fontId="6" fillId="0" borderId="25" xfId="0" applyNumberFormat="1" applyFont="1" applyFill="1" applyBorder="1" applyAlignment="1">
      <alignment horizontal="center" vertical="center"/>
    </xf>
    <xf numFmtId="3" fontId="6" fillId="0" borderId="27" xfId="0" applyNumberFormat="1" applyFont="1" applyFill="1" applyBorder="1" applyAlignment="1">
      <alignment horizontal="center" vertical="center"/>
    </xf>
    <xf numFmtId="3" fontId="6" fillId="0" borderId="28" xfId="0" applyNumberFormat="1" applyFont="1" applyFill="1" applyBorder="1" applyAlignment="1">
      <alignment horizontal="center" vertical="center"/>
    </xf>
    <xf numFmtId="3" fontId="6" fillId="0" borderId="14" xfId="0" applyNumberFormat="1" applyFont="1" applyFill="1" applyBorder="1" applyAlignment="1">
      <alignment horizontal="center" vertical="center"/>
    </xf>
    <xf numFmtId="3" fontId="6" fillId="0" borderId="17" xfId="0" applyNumberFormat="1" applyFont="1" applyFill="1" applyBorder="1" applyAlignment="1">
      <alignment horizontal="center" vertical="center"/>
    </xf>
    <xf numFmtId="166" fontId="6" fillId="4" borderId="11" xfId="0" applyNumberFormat="1" applyFont="1" applyFill="1" applyBorder="1" applyAlignment="1">
      <alignment horizontal="right" vertical="center" indent="1"/>
    </xf>
    <xf numFmtId="166" fontId="6" fillId="4" borderId="18" xfId="0" applyNumberFormat="1" applyFont="1" applyFill="1" applyBorder="1" applyAlignment="1">
      <alignment horizontal="right" vertical="center" indent="1"/>
    </xf>
    <xf numFmtId="4" fontId="6" fillId="4" borderId="19" xfId="0" applyNumberFormat="1" applyFont="1" applyFill="1" applyBorder="1" applyAlignment="1">
      <alignment horizontal="right" vertical="center" indent="1"/>
    </xf>
    <xf numFmtId="4" fontId="6" fillId="4" borderId="13" xfId="0" applyNumberFormat="1" applyFont="1" applyFill="1" applyBorder="1" applyAlignment="1">
      <alignment horizontal="right" vertical="center" indent="1"/>
    </xf>
    <xf numFmtId="167" fontId="5" fillId="0" borderId="11" xfId="3" applyNumberFormat="1" applyFont="1" applyFill="1" applyBorder="1" applyAlignment="1">
      <alignment horizontal="center" vertical="center"/>
    </xf>
    <xf numFmtId="10" fontId="5" fillId="0" borderId="26" xfId="0" applyNumberFormat="1" applyFont="1" applyFill="1" applyBorder="1" applyAlignment="1">
      <alignment horizontal="center" vertical="center"/>
    </xf>
    <xf numFmtId="9" fontId="5" fillId="0" borderId="29" xfId="3" applyFont="1" applyFill="1" applyBorder="1" applyAlignment="1">
      <alignment horizontal="center" vertical="center"/>
    </xf>
    <xf numFmtId="166" fontId="6" fillId="0" borderId="26" xfId="0" applyNumberFormat="1" applyFont="1" applyFill="1" applyBorder="1" applyAlignment="1">
      <alignment horizontal="right" vertical="center" indent="1"/>
    </xf>
    <xf numFmtId="4" fontId="6" fillId="0" borderId="26" xfId="0" applyNumberFormat="1" applyFont="1" applyFill="1" applyBorder="1" applyAlignment="1">
      <alignment horizontal="right" vertical="center" indent="1"/>
    </xf>
    <xf numFmtId="0" fontId="1" fillId="0" borderId="2" xfId="0" applyFont="1" applyFill="1" applyBorder="1" applyAlignment="1">
      <alignment horizontal="center" vertical="center"/>
    </xf>
    <xf numFmtId="165" fontId="5" fillId="0" borderId="30" xfId="2" applyNumberFormat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43" fontId="5" fillId="6" borderId="24" xfId="2" applyFont="1" applyFill="1" applyBorder="1" applyAlignment="1">
      <alignment horizontal="center" vertical="center"/>
    </xf>
    <xf numFmtId="10" fontId="5" fillId="0" borderId="7" xfId="3" applyNumberFormat="1" applyFont="1" applyFill="1" applyBorder="1" applyAlignment="1">
      <alignment horizontal="center" vertical="center"/>
    </xf>
    <xf numFmtId="9" fontId="5" fillId="3" borderId="11" xfId="3" applyFont="1" applyFill="1" applyBorder="1" applyAlignment="1">
      <alignment horizontal="center" vertical="center"/>
    </xf>
    <xf numFmtId="166" fontId="6" fillId="3" borderId="12" xfId="0" applyNumberFormat="1" applyFont="1" applyFill="1" applyBorder="1" applyAlignment="1">
      <alignment horizontal="right" vertical="center" indent="1"/>
    </xf>
    <xf numFmtId="4" fontId="6" fillId="3" borderId="12" xfId="0" applyNumberFormat="1" applyFont="1" applyFill="1" applyBorder="1" applyAlignment="1">
      <alignment horizontal="right" vertical="center" indent="1"/>
    </xf>
    <xf numFmtId="165" fontId="5" fillId="3" borderId="12" xfId="2" applyNumberFormat="1" applyFont="1" applyFill="1" applyBorder="1" applyAlignment="1">
      <alignment horizontal="center" vertical="center"/>
    </xf>
    <xf numFmtId="10" fontId="5" fillId="3" borderId="2" xfId="0" applyNumberFormat="1" applyFont="1" applyFill="1" applyBorder="1" applyAlignment="1">
      <alignment horizontal="center" vertical="center"/>
    </xf>
    <xf numFmtId="43" fontId="5" fillId="3" borderId="14" xfId="2" applyFont="1" applyFill="1" applyBorder="1" applyAlignment="1">
      <alignment horizontal="center" vertical="center"/>
    </xf>
    <xf numFmtId="9" fontId="5" fillId="3" borderId="7" xfId="3" applyFont="1" applyFill="1" applyBorder="1" applyAlignment="1">
      <alignment horizontal="center" vertical="center"/>
    </xf>
    <xf numFmtId="166" fontId="6" fillId="3" borderId="2" xfId="0" applyNumberFormat="1" applyFont="1" applyFill="1" applyBorder="1" applyAlignment="1">
      <alignment horizontal="right" vertical="center" indent="1"/>
    </xf>
    <xf numFmtId="4" fontId="6" fillId="3" borderId="2" xfId="0" applyNumberFormat="1" applyFont="1" applyFill="1" applyBorder="1" applyAlignment="1">
      <alignment horizontal="right" vertical="center" indent="1"/>
    </xf>
    <xf numFmtId="0" fontId="1" fillId="3" borderId="2" xfId="0" applyFont="1" applyFill="1" applyBorder="1"/>
    <xf numFmtId="165" fontId="5" fillId="3" borderId="16" xfId="2" applyNumberFormat="1" applyFont="1" applyFill="1" applyBorder="1" applyAlignment="1">
      <alignment horizontal="center" vertical="center"/>
    </xf>
    <xf numFmtId="9" fontId="5" fillId="3" borderId="15" xfId="3" applyFont="1" applyFill="1" applyBorder="1" applyAlignment="1">
      <alignment horizontal="center" vertical="center"/>
    </xf>
    <xf numFmtId="166" fontId="6" fillId="3" borderId="16" xfId="0" applyNumberFormat="1" applyFont="1" applyFill="1" applyBorder="1" applyAlignment="1">
      <alignment horizontal="right" vertical="center" indent="1"/>
    </xf>
    <xf numFmtId="4" fontId="6" fillId="3" borderId="16" xfId="0" applyNumberFormat="1" applyFont="1" applyFill="1" applyBorder="1" applyAlignment="1">
      <alignment horizontal="right" vertical="center" indent="1"/>
    </xf>
    <xf numFmtId="0" fontId="1" fillId="3" borderId="16" xfId="0" applyFont="1" applyFill="1" applyBorder="1" applyAlignment="1">
      <alignment horizontal="center" vertical="center"/>
    </xf>
    <xf numFmtId="10" fontId="5" fillId="3" borderId="16" xfId="0" applyNumberFormat="1" applyFont="1" applyFill="1" applyBorder="1" applyAlignment="1">
      <alignment horizontal="center" vertical="center"/>
    </xf>
    <xf numFmtId="166" fontId="6" fillId="3" borderId="26" xfId="0" applyNumberFormat="1" applyFont="1" applyFill="1" applyBorder="1" applyAlignment="1">
      <alignment horizontal="right" vertical="center" indent="1"/>
    </xf>
    <xf numFmtId="4" fontId="6" fillId="3" borderId="26" xfId="0" applyNumberFormat="1" applyFont="1" applyFill="1" applyBorder="1" applyAlignment="1">
      <alignment horizontal="right" vertical="center" indent="1"/>
    </xf>
    <xf numFmtId="0" fontId="1" fillId="3" borderId="12" xfId="0" applyFont="1" applyFill="1" applyBorder="1"/>
    <xf numFmtId="10" fontId="5" fillId="3" borderId="26" xfId="0" applyNumberFormat="1" applyFont="1" applyFill="1" applyBorder="1" applyAlignment="1">
      <alignment horizontal="center" vertical="center"/>
    </xf>
    <xf numFmtId="43" fontId="5" fillId="3" borderId="13" xfId="2" applyFont="1" applyFill="1" applyBorder="1" applyAlignment="1">
      <alignment horizontal="center" vertical="center"/>
    </xf>
    <xf numFmtId="10" fontId="5" fillId="3" borderId="7" xfId="3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9" fontId="5" fillId="3" borderId="29" xfId="3" applyFont="1" applyFill="1" applyBorder="1" applyAlignment="1">
      <alignment horizontal="center" vertical="center"/>
    </xf>
    <xf numFmtId="43" fontId="5" fillId="3" borderId="17" xfId="2" applyFont="1" applyFill="1" applyBorder="1" applyAlignment="1">
      <alignment horizontal="center" vertical="center"/>
    </xf>
    <xf numFmtId="0" fontId="3" fillId="3" borderId="0" xfId="0" applyFont="1" applyFill="1" applyBorder="1"/>
    <xf numFmtId="0" fontId="16" fillId="3" borderId="23" xfId="0" applyNumberFormat="1" applyFont="1" applyFill="1" applyBorder="1" applyAlignment="1">
      <alignment horizontal="left" vertical="top" wrapText="1"/>
    </xf>
    <xf numFmtId="43" fontId="5" fillId="3" borderId="24" xfId="2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/>
    </xf>
    <xf numFmtId="9" fontId="18" fillId="0" borderId="4" xfId="3" applyFont="1" applyFill="1" applyBorder="1" applyAlignment="1">
      <alignment horizontal="left" vertical="center"/>
    </xf>
    <xf numFmtId="9" fontId="18" fillId="0" borderId="21" xfId="3" applyFont="1" applyFill="1" applyBorder="1" applyAlignment="1">
      <alignment horizontal="left" vertical="center"/>
    </xf>
    <xf numFmtId="9" fontId="18" fillId="0" borderId="22" xfId="3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21" xfId="2" applyNumberFormat="1" applyFont="1" applyFill="1" applyBorder="1" applyAlignment="1">
      <alignment horizontal="left" vertical="center"/>
    </xf>
    <xf numFmtId="165" fontId="18" fillId="0" borderId="22" xfId="2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166" fontId="6" fillId="4" borderId="12" xfId="0" applyNumberFormat="1" applyFont="1" applyFill="1" applyBorder="1" applyAlignment="1">
      <alignment horizontal="center" vertical="center"/>
    </xf>
    <xf numFmtId="0" fontId="9" fillId="5" borderId="3" xfId="0" applyNumberFormat="1" applyFont="1" applyFill="1" applyBorder="1" applyAlignment="1">
      <alignment horizontal="right" vertical="center" wrapText="1"/>
    </xf>
    <xf numFmtId="166" fontId="17" fillId="5" borderId="3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left" vertical="center" wrapText="1"/>
    </xf>
    <xf numFmtId="3" fontId="6" fillId="0" borderId="2" xfId="0" applyNumberFormat="1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left" vertical="center" wrapText="1"/>
    </xf>
    <xf numFmtId="0" fontId="6" fillId="0" borderId="12" xfId="0" applyNumberFormat="1" applyFont="1" applyFill="1" applyBorder="1" applyAlignment="1">
      <alignment horizontal="left" vertical="center" wrapText="1"/>
    </xf>
    <xf numFmtId="3" fontId="6" fillId="0" borderId="12" xfId="0" applyNumberFormat="1" applyFont="1" applyFill="1" applyBorder="1" applyAlignment="1">
      <alignment horizontal="center" vertical="center"/>
    </xf>
    <xf numFmtId="4" fontId="6" fillId="4" borderId="13" xfId="0" applyNumberFormat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left" vertical="center" wrapText="1"/>
    </xf>
    <xf numFmtId="4" fontId="6" fillId="4" borderId="14" xfId="0" applyNumberFormat="1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left" vertical="center" wrapText="1"/>
    </xf>
    <xf numFmtId="0" fontId="6" fillId="4" borderId="16" xfId="0" applyNumberFormat="1" applyFont="1" applyFill="1" applyBorder="1" applyAlignment="1">
      <alignment horizontal="left" vertical="center" wrapText="1"/>
    </xf>
    <xf numFmtId="166" fontId="6" fillId="4" borderId="16" xfId="0" applyNumberFormat="1" applyFont="1" applyFill="1" applyBorder="1" applyAlignment="1">
      <alignment horizontal="center" vertical="center"/>
    </xf>
    <xf numFmtId="3" fontId="6" fillId="4" borderId="16" xfId="0" applyNumberFormat="1" applyFont="1" applyFill="1" applyBorder="1" applyAlignment="1">
      <alignment horizontal="center" vertical="center"/>
    </xf>
    <xf numFmtId="4" fontId="6" fillId="4" borderId="17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6" fillId="4" borderId="12" xfId="0" applyNumberFormat="1" applyFont="1" applyFill="1" applyBorder="1" applyAlignment="1">
      <alignment horizontal="left" vertical="center" wrapText="1"/>
    </xf>
    <xf numFmtId="3" fontId="6" fillId="4" borderId="12" xfId="0" applyNumberFormat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>
      <alignment horizontal="left" vertical="center" wrapText="1"/>
    </xf>
    <xf numFmtId="166" fontId="6" fillId="0" borderId="16" xfId="0" applyNumberFormat="1" applyFont="1" applyFill="1" applyBorder="1" applyAlignment="1">
      <alignment horizontal="center" vertical="center"/>
    </xf>
    <xf numFmtId="3" fontId="6" fillId="0" borderId="16" xfId="0" applyNumberFormat="1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horizontal="center" wrapText="1"/>
    </xf>
    <xf numFmtId="2" fontId="0" fillId="0" borderId="0" xfId="0" applyNumberFormat="1"/>
  </cellXfs>
  <cellStyles count="4">
    <cellStyle name="Millares" xfId="2" builtinId="3"/>
    <cellStyle name="Millares 2" xfId="1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tabSelected="1" topLeftCell="A4" workbookViewId="0">
      <selection activeCell="K17" sqref="K17"/>
    </sheetView>
  </sheetViews>
  <sheetFormatPr baseColWidth="10" defaultRowHeight="12.75" x14ac:dyDescent="0.2"/>
  <cols>
    <col min="1" max="1" width="27.7109375" customWidth="1"/>
    <col min="2" max="2" width="34.5703125" customWidth="1"/>
    <col min="3" max="3" width="29.5703125" customWidth="1"/>
    <col min="4" max="4" width="21.140625" customWidth="1"/>
    <col min="5" max="7" width="16.7109375" customWidth="1"/>
    <col min="8" max="8" width="16.140625" customWidth="1"/>
  </cols>
  <sheetData>
    <row r="1" spans="1:12" ht="48" customHeight="1" x14ac:dyDescent="0.2">
      <c r="A1" s="62"/>
      <c r="B1" s="62"/>
      <c r="C1" s="62"/>
      <c r="D1" s="62"/>
      <c r="E1" s="62"/>
      <c r="F1" s="62"/>
      <c r="G1" s="62"/>
      <c r="H1" s="62"/>
    </row>
    <row r="2" spans="1:12" ht="18" x14ac:dyDescent="0.25">
      <c r="A2" s="125" t="str">
        <f>valoración!A3</f>
        <v>PROPUESTA DE ADJUDICACIÓN DEL EXPEDIENTE S-01669-2022</v>
      </c>
      <c r="B2" s="125"/>
      <c r="C2" s="125"/>
      <c r="D2" s="125"/>
      <c r="E2" s="125"/>
      <c r="F2" s="125"/>
      <c r="G2" s="125"/>
      <c r="H2" s="62"/>
    </row>
    <row r="3" spans="1:12" ht="18" x14ac:dyDescent="0.25">
      <c r="A3" s="125" t="str">
        <f>valoración!A4</f>
        <v>"Sistema de Supervisión de las Emisiones de RTVE"</v>
      </c>
      <c r="B3" s="125"/>
      <c r="C3" s="125"/>
      <c r="D3" s="125"/>
      <c r="E3" s="125"/>
      <c r="F3" s="125"/>
      <c r="G3" s="125"/>
      <c r="H3" s="62"/>
    </row>
    <row r="4" spans="1:12" ht="18" x14ac:dyDescent="0.25">
      <c r="A4" s="125" t="str">
        <f>valoración!A5</f>
        <v>RESUMEN PUNTUACIÓN TÉCNICA Y ECONÓMICA</v>
      </c>
      <c r="B4" s="125"/>
      <c r="C4" s="125"/>
      <c r="D4" s="125"/>
      <c r="E4" s="125"/>
      <c r="F4" s="125"/>
      <c r="G4" s="125"/>
      <c r="H4" s="62"/>
    </row>
    <row r="5" spans="1:12" x14ac:dyDescent="0.2">
      <c r="A5" s="62"/>
      <c r="B5" s="62"/>
      <c r="C5" s="62"/>
      <c r="D5" s="62"/>
      <c r="E5" s="62"/>
      <c r="F5" s="62"/>
      <c r="G5" s="62"/>
      <c r="H5" s="62"/>
    </row>
    <row r="6" spans="1:12" x14ac:dyDescent="0.2">
      <c r="A6" s="62"/>
      <c r="B6" s="62"/>
      <c r="C6" s="62"/>
      <c r="D6" s="62"/>
      <c r="E6" s="62"/>
      <c r="F6" s="62"/>
      <c r="G6" s="62"/>
      <c r="H6" s="62"/>
    </row>
    <row r="7" spans="1:12" ht="30.75" customHeight="1" x14ac:dyDescent="0.2">
      <c r="A7" s="62"/>
      <c r="B7" s="62"/>
      <c r="C7" s="62"/>
      <c r="D7" s="62"/>
      <c r="E7" s="62"/>
      <c r="F7" s="62"/>
      <c r="G7" s="62"/>
      <c r="H7" s="62"/>
    </row>
    <row r="8" spans="1:12" ht="30.75" thickBot="1" x14ac:dyDescent="0.25">
      <c r="A8" s="142" t="s">
        <v>4</v>
      </c>
      <c r="B8" s="142" t="s">
        <v>5</v>
      </c>
      <c r="C8" s="142" t="s">
        <v>39</v>
      </c>
      <c r="D8" s="142" t="s">
        <v>0</v>
      </c>
      <c r="E8" s="142" t="s">
        <v>41</v>
      </c>
      <c r="F8" s="142" t="s">
        <v>1</v>
      </c>
      <c r="G8" s="142" t="s">
        <v>16</v>
      </c>
      <c r="H8" s="142" t="s">
        <v>18</v>
      </c>
    </row>
    <row r="9" spans="1:12" ht="35.1" customHeight="1" x14ac:dyDescent="0.2">
      <c r="A9" s="143" t="s">
        <v>21</v>
      </c>
      <c r="B9" s="144" t="s">
        <v>29</v>
      </c>
      <c r="C9" s="21">
        <v>484000</v>
      </c>
      <c r="D9" s="145">
        <v>35</v>
      </c>
      <c r="E9" s="51">
        <v>332694.21999999997</v>
      </c>
      <c r="F9" s="23">
        <v>60</v>
      </c>
      <c r="G9" s="51">
        <v>95</v>
      </c>
      <c r="H9" s="146">
        <f>100-($E9*100/$C9)</f>
        <v>31.261524793388432</v>
      </c>
    </row>
    <row r="10" spans="1:12" ht="35.1" customHeight="1" x14ac:dyDescent="0.2">
      <c r="A10" s="147"/>
      <c r="B10" s="140" t="s">
        <v>30</v>
      </c>
      <c r="C10" s="25">
        <v>484000</v>
      </c>
      <c r="D10" s="141">
        <v>35</v>
      </c>
      <c r="E10" s="65">
        <v>437013.3</v>
      </c>
      <c r="F10" s="66">
        <v>41.186493711853487</v>
      </c>
      <c r="G10" s="65">
        <v>76.186493711853487</v>
      </c>
      <c r="H10" s="148">
        <f t="shared" ref="H10:H24" si="0">100-($E10*100/$C10)</f>
        <v>9.707995867768588</v>
      </c>
      <c r="J10" s="163" t="s">
        <v>43</v>
      </c>
      <c r="K10" s="163"/>
      <c r="L10" s="163"/>
    </row>
    <row r="11" spans="1:12" ht="35.1" customHeight="1" x14ac:dyDescent="0.2">
      <c r="A11" s="147"/>
      <c r="B11" s="140" t="s">
        <v>31</v>
      </c>
      <c r="C11" s="25">
        <v>484000</v>
      </c>
      <c r="D11" s="141">
        <v>40</v>
      </c>
      <c r="E11" s="65">
        <v>411125</v>
      </c>
      <c r="F11" s="66">
        <v>45.855339476592043</v>
      </c>
      <c r="G11" s="65">
        <v>85.855339476592036</v>
      </c>
      <c r="H11" s="148">
        <f t="shared" si="0"/>
        <v>15.056818181818187</v>
      </c>
      <c r="J11" s="164">
        <f>+G9+G10+G11+G12+G13+G14</f>
        <v>481.59332037689137</v>
      </c>
      <c r="K11" s="164">
        <f>+J11/6</f>
        <v>80.265553396148562</v>
      </c>
      <c r="L11" s="162">
        <f>+G15-K11</f>
        <v>15.169835291998766</v>
      </c>
    </row>
    <row r="12" spans="1:12" ht="35.1" customHeight="1" x14ac:dyDescent="0.2">
      <c r="A12" s="147"/>
      <c r="B12" s="140" t="s">
        <v>32</v>
      </c>
      <c r="C12" s="25">
        <v>484000</v>
      </c>
      <c r="D12" s="141">
        <v>40</v>
      </c>
      <c r="E12" s="65">
        <v>379250.9</v>
      </c>
      <c r="F12" s="66">
        <v>51.603699036310275</v>
      </c>
      <c r="G12" s="27">
        <v>91.603699036310275</v>
      </c>
      <c r="H12" s="148">
        <f t="shared" si="0"/>
        <v>21.642376033057857</v>
      </c>
    </row>
    <row r="13" spans="1:12" ht="35.1" customHeight="1" x14ac:dyDescent="0.2">
      <c r="A13" s="147"/>
      <c r="B13" s="140" t="s">
        <v>33</v>
      </c>
      <c r="C13" s="25">
        <v>484000</v>
      </c>
      <c r="D13" s="141">
        <v>34</v>
      </c>
      <c r="E13" s="53">
        <v>483400</v>
      </c>
      <c r="F13" s="27">
        <v>32.820847924559672</v>
      </c>
      <c r="G13" s="27">
        <v>66.820847924559672</v>
      </c>
      <c r="H13" s="148">
        <f t="shared" si="0"/>
        <v>0.12396694214875481</v>
      </c>
    </row>
    <row r="14" spans="1:12" ht="35.1" customHeight="1" x14ac:dyDescent="0.2">
      <c r="A14" s="147"/>
      <c r="B14" s="140" t="s">
        <v>34</v>
      </c>
      <c r="C14" s="25">
        <v>484000</v>
      </c>
      <c r="D14" s="141">
        <v>20</v>
      </c>
      <c r="E14" s="53">
        <v>409619</v>
      </c>
      <c r="F14" s="27">
        <v>46.126940227575936</v>
      </c>
      <c r="G14" s="27">
        <v>66.126940227575943</v>
      </c>
      <c r="H14" s="148">
        <f t="shared" si="0"/>
        <v>15.367975206611575</v>
      </c>
    </row>
    <row r="15" spans="1:12" ht="35.1" customHeight="1" thickBot="1" x14ac:dyDescent="0.25">
      <c r="A15" s="149"/>
      <c r="B15" s="150" t="s">
        <v>35</v>
      </c>
      <c r="C15" s="151">
        <v>484000</v>
      </c>
      <c r="D15" s="152">
        <v>40</v>
      </c>
      <c r="E15" s="61">
        <v>358004.55</v>
      </c>
      <c r="F15" s="48">
        <v>55.435388688147327</v>
      </c>
      <c r="G15" s="48">
        <v>95.435388688147327</v>
      </c>
      <c r="H15" s="153">
        <f t="shared" si="0"/>
        <v>26.032117768595043</v>
      </c>
    </row>
    <row r="16" spans="1:12" ht="35.1" customHeight="1" x14ac:dyDescent="0.2">
      <c r="A16" s="154" t="s">
        <v>22</v>
      </c>
      <c r="B16" s="155" t="s">
        <v>29</v>
      </c>
      <c r="C16" s="137">
        <v>124000</v>
      </c>
      <c r="D16" s="156">
        <v>40</v>
      </c>
      <c r="E16" s="58">
        <v>85516.4</v>
      </c>
      <c r="F16" s="59">
        <v>60</v>
      </c>
      <c r="G16" s="59">
        <v>100</v>
      </c>
      <c r="H16" s="146">
        <f t="shared" si="0"/>
        <v>31.035161290322577</v>
      </c>
      <c r="J16" s="162">
        <f>+G17+G18+G19+G20+G21+G22</f>
        <v>497.47708041966217</v>
      </c>
      <c r="K16" s="162">
        <f>+J16/6</f>
        <v>82.912846736610362</v>
      </c>
      <c r="L16" s="162">
        <f>+G16-K16</f>
        <v>17.087153263389638</v>
      </c>
    </row>
    <row r="17" spans="1:12" ht="35.1" customHeight="1" x14ac:dyDescent="0.2">
      <c r="A17" s="157"/>
      <c r="B17" s="140" t="s">
        <v>30</v>
      </c>
      <c r="C17" s="25">
        <v>124000</v>
      </c>
      <c r="D17" s="141">
        <v>35</v>
      </c>
      <c r="E17" s="53">
        <v>101161.60000000001</v>
      </c>
      <c r="F17" s="27">
        <v>49.023017807110669</v>
      </c>
      <c r="G17" s="27">
        <v>84.023017807110676</v>
      </c>
      <c r="H17" s="148">
        <f t="shared" si="0"/>
        <v>18.418064516129036</v>
      </c>
    </row>
    <row r="18" spans="1:12" ht="35.1" customHeight="1" x14ac:dyDescent="0.2">
      <c r="A18" s="157"/>
      <c r="B18" s="140" t="s">
        <v>31</v>
      </c>
      <c r="C18" s="25">
        <v>124000</v>
      </c>
      <c r="D18" s="141">
        <v>40</v>
      </c>
      <c r="E18" s="53">
        <v>99200</v>
      </c>
      <c r="F18" s="27">
        <v>50.399315219069088</v>
      </c>
      <c r="G18" s="27">
        <v>90.399315219069081</v>
      </c>
      <c r="H18" s="148">
        <f t="shared" si="0"/>
        <v>20</v>
      </c>
    </row>
    <row r="19" spans="1:12" ht="35.1" customHeight="1" x14ac:dyDescent="0.2">
      <c r="A19" s="157"/>
      <c r="B19" s="140" t="s">
        <v>36</v>
      </c>
      <c r="C19" s="25">
        <v>124000</v>
      </c>
      <c r="D19" s="141">
        <v>40</v>
      </c>
      <c r="E19" s="53">
        <v>96237.55</v>
      </c>
      <c r="F19" s="27">
        <v>52.477828814122198</v>
      </c>
      <c r="G19" s="27">
        <v>92.477828814122205</v>
      </c>
      <c r="H19" s="148">
        <f t="shared" si="0"/>
        <v>22.389072580645163</v>
      </c>
    </row>
    <row r="20" spans="1:12" ht="35.1" customHeight="1" x14ac:dyDescent="0.2">
      <c r="A20" s="157"/>
      <c r="B20" s="140" t="s">
        <v>33</v>
      </c>
      <c r="C20" s="25">
        <v>124000</v>
      </c>
      <c r="D20" s="141">
        <v>32</v>
      </c>
      <c r="E20" s="53">
        <v>123400</v>
      </c>
      <c r="F20" s="27">
        <v>33.420115907591985</v>
      </c>
      <c r="G20" s="27">
        <v>65.420115907591992</v>
      </c>
      <c r="H20" s="148">
        <f t="shared" si="0"/>
        <v>0.48387096774193594</v>
      </c>
    </row>
    <row r="21" spans="1:12" ht="35.1" customHeight="1" x14ac:dyDescent="0.2">
      <c r="A21" s="157"/>
      <c r="B21" s="140" t="s">
        <v>37</v>
      </c>
      <c r="C21" s="25">
        <v>124000</v>
      </c>
      <c r="D21" s="141">
        <v>40</v>
      </c>
      <c r="E21" s="53">
        <v>97425</v>
      </c>
      <c r="F21" s="27">
        <v>51.644690375179493</v>
      </c>
      <c r="G21" s="27">
        <v>91.644690375179493</v>
      </c>
      <c r="H21" s="148">
        <f t="shared" si="0"/>
        <v>21.431451612903231</v>
      </c>
    </row>
    <row r="22" spans="1:12" ht="35.1" customHeight="1" thickBot="1" x14ac:dyDescent="0.25">
      <c r="A22" s="158"/>
      <c r="B22" s="159" t="s">
        <v>35</v>
      </c>
      <c r="C22" s="160">
        <v>124000</v>
      </c>
      <c r="D22" s="161">
        <v>40</v>
      </c>
      <c r="E22" s="54">
        <v>123268.88</v>
      </c>
      <c r="F22" s="24">
        <v>33.512112296588718</v>
      </c>
      <c r="G22" s="24">
        <v>73.512112296588725</v>
      </c>
      <c r="H22" s="153">
        <f t="shared" si="0"/>
        <v>0.58961290322581306</v>
      </c>
    </row>
    <row r="23" spans="1:12" ht="35.1" customHeight="1" x14ac:dyDescent="0.2">
      <c r="A23" s="154" t="s">
        <v>23</v>
      </c>
      <c r="B23" s="155" t="s">
        <v>36</v>
      </c>
      <c r="C23" s="137">
        <v>15000</v>
      </c>
      <c r="D23" s="156">
        <v>40</v>
      </c>
      <c r="E23" s="58">
        <v>13692</v>
      </c>
      <c r="F23" s="59">
        <v>60</v>
      </c>
      <c r="G23" s="59">
        <v>100</v>
      </c>
      <c r="H23" s="146">
        <f t="shared" si="0"/>
        <v>8.7199999999999989</v>
      </c>
      <c r="L23" s="162">
        <f>+G23-G24</f>
        <v>5.3395267309377772</v>
      </c>
    </row>
    <row r="24" spans="1:12" ht="44.25" customHeight="1" thickBot="1" x14ac:dyDescent="0.25">
      <c r="A24" s="158"/>
      <c r="B24" s="159" t="s">
        <v>35</v>
      </c>
      <c r="C24" s="160">
        <v>15000</v>
      </c>
      <c r="D24" s="161">
        <v>40</v>
      </c>
      <c r="E24" s="67">
        <v>14910.48</v>
      </c>
      <c r="F24" s="68">
        <v>54.660473269062223</v>
      </c>
      <c r="G24" s="24">
        <v>94.660473269062223</v>
      </c>
      <c r="H24" s="153">
        <f t="shared" si="0"/>
        <v>0.59680000000000177</v>
      </c>
    </row>
    <row r="25" spans="1:12" ht="16.5" thickBot="1" x14ac:dyDescent="0.25">
      <c r="A25" s="69"/>
      <c r="B25" s="138" t="s">
        <v>12</v>
      </c>
      <c r="C25" s="139">
        <f>C9+C16+C23</f>
        <v>623000</v>
      </c>
      <c r="D25" s="70"/>
      <c r="E25" s="70"/>
      <c r="F25" s="70"/>
      <c r="G25" s="70"/>
      <c r="H25" s="62"/>
    </row>
    <row r="26" spans="1:12" x14ac:dyDescent="0.2">
      <c r="A26" s="62"/>
      <c r="B26" s="62"/>
      <c r="C26" s="62"/>
      <c r="D26" s="62"/>
      <c r="E26" s="62"/>
      <c r="F26" s="62"/>
      <c r="G26" s="62"/>
      <c r="H26" s="62"/>
    </row>
    <row r="27" spans="1:12" x14ac:dyDescent="0.2">
      <c r="A27" s="62"/>
      <c r="B27" s="62"/>
      <c r="C27" s="62"/>
      <c r="D27" s="62"/>
      <c r="E27" s="62"/>
      <c r="F27" s="62"/>
      <c r="G27" s="62"/>
      <c r="H27" s="62"/>
    </row>
    <row r="28" spans="1:12" ht="14.25" x14ac:dyDescent="0.2">
      <c r="A28" s="71" t="s">
        <v>2</v>
      </c>
      <c r="B28" s="62"/>
      <c r="C28" s="62"/>
      <c r="D28" s="62"/>
      <c r="E28" s="62"/>
      <c r="F28" s="62"/>
      <c r="G28" s="62"/>
      <c r="H28" s="62"/>
    </row>
    <row r="29" spans="1:12" ht="14.25" x14ac:dyDescent="0.2">
      <c r="A29" s="71" t="s">
        <v>42</v>
      </c>
      <c r="B29" s="62"/>
      <c r="C29" s="62"/>
      <c r="D29" s="62"/>
      <c r="E29" s="62"/>
      <c r="F29" s="62"/>
      <c r="G29" s="62"/>
      <c r="H29" s="62"/>
    </row>
    <row r="30" spans="1:12" x14ac:dyDescent="0.2">
      <c r="A30" s="62"/>
      <c r="B30" s="62"/>
      <c r="C30" s="62"/>
      <c r="D30" s="62"/>
      <c r="E30" s="62"/>
      <c r="F30" s="62"/>
      <c r="G30" s="62"/>
      <c r="H30" s="62"/>
    </row>
  </sheetData>
  <mergeCells count="7">
    <mergeCell ref="A9:A15"/>
    <mergeCell ref="A16:A22"/>
    <mergeCell ref="A23:A24"/>
    <mergeCell ref="J10:L10"/>
    <mergeCell ref="A2:G2"/>
    <mergeCell ref="A3:G3"/>
    <mergeCell ref="A4:G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31"/>
  <sheetViews>
    <sheetView showGridLines="0" showZeros="0" zoomScale="70" zoomScaleNormal="70" workbookViewId="0">
      <pane ySplit="6" topLeftCell="A13" activePane="bottomLeft" state="frozen"/>
      <selection pane="bottomLeft" activeCell="A29" sqref="A29"/>
    </sheetView>
  </sheetViews>
  <sheetFormatPr baseColWidth="10" defaultColWidth="11.42578125" defaultRowHeight="15" x14ac:dyDescent="0.2"/>
  <cols>
    <col min="1" max="1" width="30.42578125" style="9" customWidth="1"/>
    <col min="2" max="2" width="41" style="10" customWidth="1"/>
    <col min="3" max="3" width="25.140625" style="10" customWidth="1"/>
    <col min="4" max="4" width="17" style="10" customWidth="1"/>
    <col min="5" max="5" width="21.7109375" style="10" customWidth="1"/>
    <col min="6" max="7" width="16.7109375" style="10" customWidth="1"/>
    <col min="8" max="8" width="21" style="10" customWidth="1"/>
    <col min="9" max="9" width="19.5703125" style="10" customWidth="1"/>
    <col min="10" max="14" width="16.7109375" style="10" customWidth="1"/>
    <col min="15" max="15" width="19.5703125" style="10" customWidth="1"/>
    <col min="16" max="16" width="19.28515625" style="10" customWidth="1"/>
    <col min="17" max="21" width="16.7109375" style="10" customWidth="1"/>
    <col min="22" max="23" width="22" style="10" customWidth="1"/>
    <col min="24" max="24" width="22.140625" style="10" customWidth="1"/>
    <col min="25" max="25" width="17.5703125" style="10" customWidth="1"/>
    <col min="26" max="26" width="17" style="10" customWidth="1"/>
    <col min="27" max="27" width="19" style="10" customWidth="1"/>
    <col min="28" max="28" width="17.140625" style="10" customWidth="1"/>
    <col min="29" max="29" width="21" style="10" customWidth="1"/>
    <col min="30" max="30" width="18.85546875" style="10" customWidth="1"/>
    <col min="31" max="31" width="16" style="10" customWidth="1"/>
    <col min="32" max="32" width="13.140625" style="10" customWidth="1"/>
    <col min="33" max="33" width="17" style="10" bestFit="1" customWidth="1"/>
    <col min="34" max="34" width="19.28515625" style="10" customWidth="1"/>
    <col min="35" max="35" width="18.28515625" style="10" customWidth="1"/>
    <col min="36" max="36" width="19.28515625" style="10" customWidth="1"/>
    <col min="37" max="37" width="21.85546875" style="10" customWidth="1"/>
    <col min="38" max="38" width="17.140625" style="10" customWidth="1"/>
    <col min="39" max="39" width="11.42578125" style="10"/>
    <col min="40" max="40" width="34.28515625" style="10" customWidth="1"/>
    <col min="41" max="16384" width="11.42578125" style="10"/>
  </cols>
  <sheetData>
    <row r="1" spans="1:45" x14ac:dyDescent="0.2">
      <c r="AA1" s="12" t="s">
        <v>6</v>
      </c>
    </row>
    <row r="2" spans="1:45" s="3" customFormat="1" ht="48" customHeight="1" x14ac:dyDescent="0.15">
      <c r="A2" s="2"/>
      <c r="D2" s="4"/>
      <c r="E2" s="4"/>
      <c r="F2" s="4"/>
      <c r="G2" s="4"/>
      <c r="H2" s="5"/>
      <c r="M2" s="11"/>
      <c r="AA2" s="13" t="s">
        <v>17</v>
      </c>
      <c r="AB2" s="14">
        <v>60</v>
      </c>
    </row>
    <row r="3" spans="1:45" s="3" customFormat="1" ht="22.5" customHeight="1" x14ac:dyDescent="0.15">
      <c r="A3" s="136" t="s">
        <v>19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AA3" s="31" t="s">
        <v>8</v>
      </c>
    </row>
    <row r="4" spans="1:45" s="3" customFormat="1" ht="22.5" customHeight="1" x14ac:dyDescent="0.15">
      <c r="A4" s="136" t="s">
        <v>20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</row>
    <row r="5" spans="1:45" s="3" customFormat="1" ht="24.6" customHeight="1" x14ac:dyDescent="0.15">
      <c r="A5" s="136" t="s">
        <v>3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</row>
    <row r="6" spans="1:45" s="3" customFormat="1" ht="24.6" customHeight="1" thickBot="1" x14ac:dyDescent="0.2">
      <c r="A6" s="28"/>
      <c r="B6" s="28"/>
      <c r="C6" s="28"/>
      <c r="D6" s="28"/>
      <c r="E6" s="28"/>
      <c r="F6" s="28"/>
      <c r="G6" s="28"/>
      <c r="H6" s="4"/>
    </row>
    <row r="7" spans="1:45" s="3" customFormat="1" ht="24.75" customHeight="1" thickBot="1" x14ac:dyDescent="0.3">
      <c r="A7" s="2"/>
      <c r="B7" s="6"/>
      <c r="C7" s="7"/>
      <c r="D7" s="7"/>
      <c r="E7" s="133" t="s">
        <v>14</v>
      </c>
      <c r="F7" s="134"/>
      <c r="G7" s="134"/>
      <c r="H7" s="134"/>
      <c r="I7" s="134"/>
      <c r="J7" s="135"/>
      <c r="K7" s="126" t="s">
        <v>25</v>
      </c>
      <c r="L7" s="127"/>
      <c r="M7" s="127"/>
      <c r="N7" s="127"/>
      <c r="O7" s="127"/>
      <c r="P7" s="127"/>
      <c r="Q7" s="128"/>
      <c r="R7" s="126" t="s">
        <v>26</v>
      </c>
      <c r="S7" s="127"/>
      <c r="T7" s="127"/>
      <c r="U7" s="127"/>
      <c r="V7" s="127"/>
      <c r="W7" s="127"/>
      <c r="X7" s="128"/>
      <c r="Y7" s="126" t="s">
        <v>27</v>
      </c>
      <c r="Z7" s="127"/>
      <c r="AA7" s="127"/>
      <c r="AB7" s="127"/>
      <c r="AC7" s="127"/>
      <c r="AD7" s="127"/>
      <c r="AE7" s="128"/>
      <c r="AF7" s="126" t="s">
        <v>28</v>
      </c>
      <c r="AG7" s="127"/>
      <c r="AH7" s="127"/>
      <c r="AI7" s="127"/>
      <c r="AJ7" s="127"/>
      <c r="AK7" s="127"/>
      <c r="AL7" s="128"/>
      <c r="AM7" s="126" t="s">
        <v>38</v>
      </c>
      <c r="AN7" s="127"/>
      <c r="AO7" s="127"/>
      <c r="AP7" s="127"/>
      <c r="AQ7" s="127"/>
      <c r="AR7" s="127"/>
      <c r="AS7" s="128"/>
    </row>
    <row r="8" spans="1:45" s="8" customFormat="1" ht="60.75" thickBot="1" x14ac:dyDescent="0.25">
      <c r="A8" s="15" t="s">
        <v>4</v>
      </c>
      <c r="B8" s="16" t="s">
        <v>5</v>
      </c>
      <c r="C8" s="17" t="s">
        <v>40</v>
      </c>
      <c r="D8" s="18" t="s">
        <v>0</v>
      </c>
      <c r="E8" s="16" t="s">
        <v>24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24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  <c r="R8" s="16" t="s">
        <v>15</v>
      </c>
      <c r="S8" s="16" t="s">
        <v>24</v>
      </c>
      <c r="T8" s="17" t="s">
        <v>1</v>
      </c>
      <c r="U8" s="17" t="s">
        <v>16</v>
      </c>
      <c r="V8" s="17" t="s">
        <v>9</v>
      </c>
      <c r="W8" s="17" t="s">
        <v>10</v>
      </c>
      <c r="X8" s="18" t="s">
        <v>11</v>
      </c>
      <c r="Y8" s="16" t="s">
        <v>15</v>
      </c>
      <c r="Z8" s="16" t="s">
        <v>24</v>
      </c>
      <c r="AA8" s="17" t="s">
        <v>1</v>
      </c>
      <c r="AB8" s="17" t="s">
        <v>16</v>
      </c>
      <c r="AC8" s="17" t="s">
        <v>9</v>
      </c>
      <c r="AD8" s="17" t="s">
        <v>10</v>
      </c>
      <c r="AE8" s="18" t="s">
        <v>11</v>
      </c>
      <c r="AF8" s="16" t="s">
        <v>15</v>
      </c>
      <c r="AG8" s="16" t="s">
        <v>24</v>
      </c>
      <c r="AH8" s="17" t="s">
        <v>1</v>
      </c>
      <c r="AI8" s="17" t="s">
        <v>16</v>
      </c>
      <c r="AJ8" s="17" t="s">
        <v>9</v>
      </c>
      <c r="AK8" s="17" t="s">
        <v>10</v>
      </c>
      <c r="AL8" s="18" t="s">
        <v>11</v>
      </c>
      <c r="AM8" s="16" t="s">
        <v>15</v>
      </c>
      <c r="AN8" s="16" t="s">
        <v>24</v>
      </c>
      <c r="AO8" s="17" t="s">
        <v>1</v>
      </c>
      <c r="AP8" s="17" t="s">
        <v>16</v>
      </c>
      <c r="AQ8" s="17" t="s">
        <v>9</v>
      </c>
      <c r="AR8" s="17" t="s">
        <v>10</v>
      </c>
      <c r="AS8" s="18" t="s">
        <v>11</v>
      </c>
    </row>
    <row r="9" spans="1:45" s="3" customFormat="1" ht="35.1" customHeight="1" thickBot="1" x14ac:dyDescent="0.2">
      <c r="A9" s="129" t="s">
        <v>21</v>
      </c>
      <c r="B9" s="72" t="s">
        <v>29</v>
      </c>
      <c r="C9" s="78">
        <v>484000</v>
      </c>
      <c r="D9" s="79">
        <v>35</v>
      </c>
      <c r="E9" s="22">
        <v>332694.21999999997</v>
      </c>
      <c r="F9" s="23">
        <f t="shared" ref="F9:F15" si="0">$AB$2*(2-E9/MIN(E$9:E$15))</f>
        <v>60</v>
      </c>
      <c r="G9" s="22">
        <f t="shared" ref="G9:G15" si="1">D9+F9</f>
        <v>95</v>
      </c>
      <c r="H9" s="43"/>
      <c r="I9" s="33">
        <f t="shared" ref="I9:I24" si="2">+$C9/$C$25*H9</f>
        <v>0</v>
      </c>
      <c r="J9" s="34">
        <f t="shared" ref="J9:J24" si="3">+G9*I9</f>
        <v>0</v>
      </c>
      <c r="K9" s="87">
        <v>1.4999999999999999E-2</v>
      </c>
      <c r="L9" s="63">
        <f t="shared" ref="L9:L15" si="4">+$E9*(1-K9)</f>
        <v>327703.80669999996</v>
      </c>
      <c r="M9" s="64">
        <f t="shared" ref="M9:M15" si="5">$AB$2*(2-L9/MIN(L$9:L$15))</f>
        <v>60</v>
      </c>
      <c r="N9" s="27">
        <f>$D9+M9</f>
        <v>95</v>
      </c>
      <c r="O9" s="32">
        <v>1</v>
      </c>
      <c r="P9" s="33">
        <f t="shared" ref="P9:P17" si="6">+$C9/$C$25*O9</f>
        <v>0.7768860353130016</v>
      </c>
      <c r="Q9" s="34">
        <f>+N9*P9</f>
        <v>73.804173354735155</v>
      </c>
      <c r="R9" s="50"/>
      <c r="S9" s="63">
        <f>+$E9*(1-R9)</f>
        <v>332694.21999999997</v>
      </c>
      <c r="T9" s="64">
        <f t="shared" ref="T9:T15" si="7">$AB$2*(2-S9/MIN(S$9:S$15))</f>
        <v>60</v>
      </c>
      <c r="U9" s="64">
        <f>$D9+T9</f>
        <v>95</v>
      </c>
      <c r="V9" s="32"/>
      <c r="W9" s="33"/>
      <c r="X9" s="34"/>
      <c r="Y9" s="50"/>
      <c r="Z9" s="63">
        <f>+$E9*(1-Y9)</f>
        <v>332694.21999999997</v>
      </c>
      <c r="AA9" s="64">
        <f t="shared" ref="AA9:AA15" si="8">$AB$2*(2-Z9/MIN(Z$9:Z$15))</f>
        <v>60</v>
      </c>
      <c r="AB9" s="64">
        <f>$D9+AA9</f>
        <v>95</v>
      </c>
      <c r="AC9" s="32"/>
      <c r="AD9" s="36">
        <f>+$C9/$C$25*AC9</f>
        <v>0</v>
      </c>
      <c r="AE9" s="37">
        <f t="shared" ref="AE9:AE23" si="9">+AB9*AD9</f>
        <v>0</v>
      </c>
      <c r="AF9" s="50"/>
      <c r="AG9" s="63">
        <f>+$E9*(1-AF9)</f>
        <v>332694.21999999997</v>
      </c>
      <c r="AH9" s="64">
        <f t="shared" ref="AH9:AH15" si="10">$AB$2*(2-AG9/MIN(AG$9:AG$15))</f>
        <v>60</v>
      </c>
      <c r="AI9" s="64">
        <f>$D9+AH9</f>
        <v>95</v>
      </c>
      <c r="AJ9" s="32"/>
      <c r="AK9" s="36">
        <f>+$C9/$C$25*AJ9</f>
        <v>0</v>
      </c>
      <c r="AL9" s="37">
        <f t="shared" ref="AL9:AL24" si="11">+AI9*AK9</f>
        <v>0</v>
      </c>
      <c r="AM9" s="97"/>
      <c r="AN9" s="98">
        <f>+$E9*(1-AM9)</f>
        <v>332694.21999999997</v>
      </c>
      <c r="AO9" s="99">
        <f t="shared" ref="AO9:AO15" si="12">$AB$2*(2-AN9/MIN(AN$9:AN$15))</f>
        <v>60</v>
      </c>
      <c r="AP9" s="99">
        <f>$D9+AO9</f>
        <v>95</v>
      </c>
      <c r="AQ9" s="100"/>
      <c r="AR9" s="101">
        <f>+$C9/$C$25*AQ9</f>
        <v>0</v>
      </c>
      <c r="AS9" s="102">
        <f t="shared" ref="AS9:AS24" si="13">+AP9*AR9</f>
        <v>0</v>
      </c>
    </row>
    <row r="10" spans="1:45" s="3" customFormat="1" ht="35.1" customHeight="1" thickBot="1" x14ac:dyDescent="0.2">
      <c r="A10" s="130"/>
      <c r="B10" s="72" t="s">
        <v>30</v>
      </c>
      <c r="C10" s="25">
        <v>484000</v>
      </c>
      <c r="D10" s="81">
        <v>35</v>
      </c>
      <c r="E10" s="76">
        <v>437013.3</v>
      </c>
      <c r="F10" s="66">
        <f t="shared" si="0"/>
        <v>41.186493711853487</v>
      </c>
      <c r="G10" s="76">
        <f t="shared" si="1"/>
        <v>76.186493711853487</v>
      </c>
      <c r="H10" s="44"/>
      <c r="I10" s="36">
        <f t="shared" si="2"/>
        <v>0</v>
      </c>
      <c r="J10" s="37">
        <f t="shared" si="3"/>
        <v>0</v>
      </c>
      <c r="K10" s="52"/>
      <c r="L10" s="53">
        <f t="shared" si="4"/>
        <v>437013.3</v>
      </c>
      <c r="M10" s="27">
        <f t="shared" si="5"/>
        <v>39.986288032338557</v>
      </c>
      <c r="N10" s="27">
        <f>$D10+M10</f>
        <v>74.986288032338564</v>
      </c>
      <c r="O10" s="45"/>
      <c r="P10" s="36">
        <f t="shared" si="6"/>
        <v>0</v>
      </c>
      <c r="Q10" s="37">
        <f t="shared" ref="Q10:Q23" si="14">+N10*P10</f>
        <v>0</v>
      </c>
      <c r="R10" s="52"/>
      <c r="S10" s="53">
        <f t="shared" ref="S10:S24" si="15">+$E10*(1-R10)</f>
        <v>437013.3</v>
      </c>
      <c r="T10" s="27">
        <f t="shared" si="7"/>
        <v>41.186493711853487</v>
      </c>
      <c r="U10" s="27">
        <f t="shared" ref="U10:U24" si="16">$D10+T10</f>
        <v>76.186493711853487</v>
      </c>
      <c r="V10" s="45"/>
      <c r="W10" s="36">
        <f t="shared" ref="W10:W23" si="17">+$C10/$C$25*V10</f>
        <v>0</v>
      </c>
      <c r="X10" s="37">
        <f t="shared" ref="X10:X23" si="18">+U10*W10</f>
        <v>0</v>
      </c>
      <c r="Y10" s="52"/>
      <c r="Z10" s="53">
        <f t="shared" ref="Z10:Z15" si="19">+$E10*(1-Y10)</f>
        <v>437013.3</v>
      </c>
      <c r="AA10" s="27">
        <f t="shared" si="8"/>
        <v>41.186493711853487</v>
      </c>
      <c r="AB10" s="27">
        <f t="shared" ref="AB10:AB24" si="20">$D10+AA10</f>
        <v>76.186493711853487</v>
      </c>
      <c r="AC10" s="45"/>
      <c r="AD10" s="36">
        <f t="shared" ref="AD10:AD19" si="21">+$C10/$C$25*AC10</f>
        <v>0</v>
      </c>
      <c r="AE10" s="37">
        <f t="shared" si="9"/>
        <v>0</v>
      </c>
      <c r="AF10" s="52"/>
      <c r="AG10" s="53">
        <f t="shared" ref="AG10:AG24" si="22">+$E10*(1-AF10)</f>
        <v>437013.3</v>
      </c>
      <c r="AH10" s="27">
        <f t="shared" si="10"/>
        <v>41.186493711853487</v>
      </c>
      <c r="AI10" s="27">
        <f t="shared" ref="AI10:AI24" si="23">$D10+AH10</f>
        <v>76.186493711853487</v>
      </c>
      <c r="AJ10" s="45"/>
      <c r="AK10" s="36">
        <f t="shared" ref="AK10:AK19" si="24">+$C10/$C$25*AJ10</f>
        <v>0</v>
      </c>
      <c r="AL10" s="37">
        <f t="shared" si="11"/>
        <v>0</v>
      </c>
      <c r="AM10" s="103"/>
      <c r="AN10" s="104">
        <f t="shared" ref="AN10:AN24" si="25">+$E10*(1-AM10)</f>
        <v>437013.3</v>
      </c>
      <c r="AO10" s="105">
        <f t="shared" si="12"/>
        <v>41.186493711853487</v>
      </c>
      <c r="AP10" s="105">
        <f t="shared" ref="AP10:AP24" si="26">$D10+AO10</f>
        <v>76.186493711853487</v>
      </c>
      <c r="AQ10" s="107"/>
      <c r="AR10" s="101">
        <f t="shared" ref="AR10:AR19" si="27">+$C10/$C$25*AQ10</f>
        <v>0</v>
      </c>
      <c r="AS10" s="102">
        <f t="shared" si="13"/>
        <v>0</v>
      </c>
    </row>
    <row r="11" spans="1:45" s="3" customFormat="1" ht="35.1" customHeight="1" thickBot="1" x14ac:dyDescent="0.2">
      <c r="A11" s="130"/>
      <c r="B11" s="72" t="s">
        <v>31</v>
      </c>
      <c r="C11" s="25">
        <v>484000</v>
      </c>
      <c r="D11" s="81">
        <v>40</v>
      </c>
      <c r="E11" s="76">
        <v>411125</v>
      </c>
      <c r="F11" s="66">
        <f t="shared" si="0"/>
        <v>45.855339476592043</v>
      </c>
      <c r="G11" s="76">
        <f t="shared" si="1"/>
        <v>85.855339476592036</v>
      </c>
      <c r="H11" s="44"/>
      <c r="I11" s="36">
        <f t="shared" si="2"/>
        <v>0</v>
      </c>
      <c r="J11" s="37">
        <f t="shared" ref="J11" si="28">+G11*I11</f>
        <v>0</v>
      </c>
      <c r="K11" s="52"/>
      <c r="L11" s="53">
        <f t="shared" si="4"/>
        <v>411125</v>
      </c>
      <c r="M11" s="27">
        <f t="shared" si="5"/>
        <v>44.726232971159433</v>
      </c>
      <c r="N11" s="27">
        <f>$D11+M11</f>
        <v>84.726232971159433</v>
      </c>
      <c r="O11" s="45"/>
      <c r="P11" s="36">
        <f t="shared" si="6"/>
        <v>0</v>
      </c>
      <c r="Q11" s="37">
        <f t="shared" ref="Q11" si="29">+N11*P11</f>
        <v>0</v>
      </c>
      <c r="R11" s="52">
        <v>0</v>
      </c>
      <c r="S11" s="53">
        <f t="shared" ref="S11" si="30">+$E11*(1-R11)</f>
        <v>411125</v>
      </c>
      <c r="T11" s="27">
        <f t="shared" si="7"/>
        <v>45.855339476592043</v>
      </c>
      <c r="U11" s="27">
        <f t="shared" ref="U11" si="31">$D11+T11</f>
        <v>85.855339476592036</v>
      </c>
      <c r="V11" s="44">
        <v>1</v>
      </c>
      <c r="W11" s="36">
        <f t="shared" si="17"/>
        <v>0.7768860353130016</v>
      </c>
      <c r="X11" s="37">
        <f t="shared" ref="X11" si="32">+U11*W11</f>
        <v>66.699814296421422</v>
      </c>
      <c r="Y11" s="52"/>
      <c r="Z11" s="53">
        <f t="shared" si="19"/>
        <v>411125</v>
      </c>
      <c r="AA11" s="27">
        <f t="shared" si="8"/>
        <v>45.855339476592043</v>
      </c>
      <c r="AB11" s="27">
        <f t="shared" si="20"/>
        <v>85.855339476592036</v>
      </c>
      <c r="AC11" s="45"/>
      <c r="AD11" s="36">
        <f t="shared" si="21"/>
        <v>0</v>
      </c>
      <c r="AE11" s="37">
        <f t="shared" si="9"/>
        <v>0</v>
      </c>
      <c r="AF11" s="52"/>
      <c r="AG11" s="53">
        <f t="shared" si="22"/>
        <v>411125</v>
      </c>
      <c r="AH11" s="27">
        <f t="shared" si="10"/>
        <v>45.855339476592043</v>
      </c>
      <c r="AI11" s="27">
        <f t="shared" si="23"/>
        <v>85.855339476592036</v>
      </c>
      <c r="AJ11" s="45"/>
      <c r="AK11" s="36">
        <f t="shared" si="24"/>
        <v>0</v>
      </c>
      <c r="AL11" s="37">
        <f t="shared" si="11"/>
        <v>0</v>
      </c>
      <c r="AM11" s="103"/>
      <c r="AN11" s="104">
        <f t="shared" si="25"/>
        <v>411125</v>
      </c>
      <c r="AO11" s="105">
        <f t="shared" si="12"/>
        <v>45.855339476592043</v>
      </c>
      <c r="AP11" s="105">
        <f t="shared" si="26"/>
        <v>85.855339476592036</v>
      </c>
      <c r="AQ11" s="106"/>
      <c r="AR11" s="101">
        <f t="shared" si="27"/>
        <v>0</v>
      </c>
      <c r="AS11" s="102">
        <f t="shared" si="13"/>
        <v>0</v>
      </c>
    </row>
    <row r="12" spans="1:45" s="3" customFormat="1" ht="35.1" customHeight="1" x14ac:dyDescent="0.15">
      <c r="A12" s="130"/>
      <c r="B12" s="73" t="s">
        <v>32</v>
      </c>
      <c r="C12" s="25">
        <v>484000</v>
      </c>
      <c r="D12" s="81">
        <v>40</v>
      </c>
      <c r="E12" s="76">
        <v>379250.9</v>
      </c>
      <c r="F12" s="66">
        <f t="shared" si="0"/>
        <v>51.603699036310275</v>
      </c>
      <c r="G12" s="23">
        <f t="shared" si="1"/>
        <v>91.603699036310275</v>
      </c>
      <c r="H12" s="44"/>
      <c r="I12" s="36">
        <f t="shared" si="2"/>
        <v>0</v>
      </c>
      <c r="J12" s="37">
        <f t="shared" ref="J12" si="33">+G12*I12</f>
        <v>0</v>
      </c>
      <c r="K12" s="52"/>
      <c r="L12" s="53">
        <f t="shared" si="4"/>
        <v>379250.9</v>
      </c>
      <c r="M12" s="27">
        <f t="shared" si="5"/>
        <v>50.562131001330222</v>
      </c>
      <c r="N12" s="27">
        <f>$D12+M12</f>
        <v>90.562131001330215</v>
      </c>
      <c r="O12" s="45"/>
      <c r="P12" s="36">
        <f t="shared" si="6"/>
        <v>0</v>
      </c>
      <c r="Q12" s="37">
        <f t="shared" ref="Q12" si="34">+N12*P12</f>
        <v>0</v>
      </c>
      <c r="R12" s="52"/>
      <c r="S12" s="53">
        <f t="shared" ref="S12" si="35">+$E12*(1-R12)</f>
        <v>379250.9</v>
      </c>
      <c r="T12" s="27">
        <f t="shared" si="7"/>
        <v>51.603699036310275</v>
      </c>
      <c r="U12" s="27">
        <f t="shared" ref="U12" si="36">$D12+T12</f>
        <v>91.603699036310275</v>
      </c>
      <c r="V12" s="45"/>
      <c r="W12" s="36">
        <f t="shared" si="17"/>
        <v>0</v>
      </c>
      <c r="X12" s="37">
        <f t="shared" ref="X12" si="37">+U12*W12</f>
        <v>0</v>
      </c>
      <c r="Y12" s="52"/>
      <c r="Z12" s="53">
        <f t="shared" si="19"/>
        <v>379250.9</v>
      </c>
      <c r="AA12" s="27">
        <f t="shared" si="8"/>
        <v>51.603699036310275</v>
      </c>
      <c r="AB12" s="27">
        <f t="shared" si="20"/>
        <v>91.603699036310275</v>
      </c>
      <c r="AC12" s="45"/>
      <c r="AD12" s="36">
        <f t="shared" si="21"/>
        <v>0</v>
      </c>
      <c r="AE12" s="37">
        <f t="shared" si="9"/>
        <v>0</v>
      </c>
      <c r="AF12" s="52"/>
      <c r="AG12" s="53">
        <f t="shared" si="22"/>
        <v>379250.9</v>
      </c>
      <c r="AH12" s="27">
        <f t="shared" si="10"/>
        <v>51.603699036310275</v>
      </c>
      <c r="AI12" s="27">
        <f t="shared" si="23"/>
        <v>91.603699036310275</v>
      </c>
      <c r="AJ12" s="45"/>
      <c r="AK12" s="36">
        <f t="shared" si="24"/>
        <v>0</v>
      </c>
      <c r="AL12" s="37">
        <f t="shared" si="11"/>
        <v>0</v>
      </c>
      <c r="AM12" s="103"/>
      <c r="AN12" s="104">
        <f t="shared" si="25"/>
        <v>379250.9</v>
      </c>
      <c r="AO12" s="105">
        <f t="shared" si="12"/>
        <v>51.603699036310275</v>
      </c>
      <c r="AP12" s="105">
        <f t="shared" si="26"/>
        <v>91.603699036310275</v>
      </c>
      <c r="AQ12" s="106"/>
      <c r="AR12" s="101">
        <f t="shared" si="27"/>
        <v>0</v>
      </c>
      <c r="AS12" s="102">
        <f t="shared" si="13"/>
        <v>0</v>
      </c>
    </row>
    <row r="13" spans="1:45" s="3" customFormat="1" ht="35.1" customHeight="1" thickBot="1" x14ac:dyDescent="0.2">
      <c r="A13" s="19"/>
      <c r="B13" s="74" t="s">
        <v>33</v>
      </c>
      <c r="C13" s="25">
        <v>484000</v>
      </c>
      <c r="D13" s="81">
        <v>34</v>
      </c>
      <c r="E13" s="29">
        <v>483400</v>
      </c>
      <c r="F13" s="30">
        <f t="shared" si="0"/>
        <v>32.820847924559672</v>
      </c>
      <c r="G13" s="30">
        <f t="shared" si="1"/>
        <v>66.820847924559672</v>
      </c>
      <c r="H13" s="44"/>
      <c r="I13" s="36">
        <f t="shared" si="2"/>
        <v>0</v>
      </c>
      <c r="J13" s="37">
        <f t="shared" si="3"/>
        <v>0</v>
      </c>
      <c r="K13" s="52"/>
      <c r="L13" s="53">
        <f t="shared" si="4"/>
        <v>483400</v>
      </c>
      <c r="M13" s="27">
        <f t="shared" si="5"/>
        <v>31.493246623918438</v>
      </c>
      <c r="N13" s="27">
        <f>$D13+M9:M13</f>
        <v>65.493246623918438</v>
      </c>
      <c r="O13" s="45"/>
      <c r="P13" s="36">
        <f t="shared" si="6"/>
        <v>0</v>
      </c>
      <c r="Q13" s="37">
        <f t="shared" si="14"/>
        <v>0</v>
      </c>
      <c r="R13" s="52"/>
      <c r="S13" s="53">
        <f t="shared" si="15"/>
        <v>483400</v>
      </c>
      <c r="T13" s="27">
        <f t="shared" si="7"/>
        <v>32.820847924559672</v>
      </c>
      <c r="U13" s="27">
        <f t="shared" si="16"/>
        <v>66.820847924559672</v>
      </c>
      <c r="V13" s="45"/>
      <c r="W13" s="36">
        <f t="shared" si="17"/>
        <v>0</v>
      </c>
      <c r="X13" s="37">
        <f t="shared" si="18"/>
        <v>0</v>
      </c>
      <c r="Y13" s="52"/>
      <c r="Z13" s="53">
        <f t="shared" si="19"/>
        <v>483400</v>
      </c>
      <c r="AA13" s="27">
        <f t="shared" si="8"/>
        <v>32.820847924559672</v>
      </c>
      <c r="AB13" s="27">
        <f t="shared" si="20"/>
        <v>66.820847924559672</v>
      </c>
      <c r="AC13" s="45"/>
      <c r="AD13" s="36">
        <f t="shared" si="21"/>
        <v>0</v>
      </c>
      <c r="AE13" s="37">
        <f t="shared" si="9"/>
        <v>0</v>
      </c>
      <c r="AF13" s="52"/>
      <c r="AG13" s="53">
        <f t="shared" si="22"/>
        <v>483400</v>
      </c>
      <c r="AH13" s="27">
        <f t="shared" si="10"/>
        <v>32.820847924559672</v>
      </c>
      <c r="AI13" s="27">
        <f t="shared" si="23"/>
        <v>66.820847924559672</v>
      </c>
      <c r="AJ13" s="45"/>
      <c r="AK13" s="36">
        <f t="shared" si="24"/>
        <v>0</v>
      </c>
      <c r="AL13" s="37">
        <f t="shared" si="11"/>
        <v>0</v>
      </c>
      <c r="AM13" s="103"/>
      <c r="AN13" s="104">
        <f t="shared" si="25"/>
        <v>483400</v>
      </c>
      <c r="AO13" s="105">
        <f t="shared" si="12"/>
        <v>32.820847924559672</v>
      </c>
      <c r="AP13" s="105">
        <f t="shared" si="26"/>
        <v>66.820847924559672</v>
      </c>
      <c r="AQ13" s="107"/>
      <c r="AR13" s="101">
        <f t="shared" si="27"/>
        <v>0</v>
      </c>
      <c r="AS13" s="102">
        <f t="shared" si="13"/>
        <v>0</v>
      </c>
    </row>
    <row r="14" spans="1:45" s="3" customFormat="1" ht="35.1" customHeight="1" thickBot="1" x14ac:dyDescent="0.2">
      <c r="A14" s="19"/>
      <c r="B14" s="74" t="s">
        <v>34</v>
      </c>
      <c r="C14" s="25">
        <v>484000</v>
      </c>
      <c r="D14" s="81">
        <v>20</v>
      </c>
      <c r="E14" s="29">
        <v>409619</v>
      </c>
      <c r="F14" s="30">
        <f t="shared" si="0"/>
        <v>46.126940227575936</v>
      </c>
      <c r="G14" s="30">
        <f t="shared" si="1"/>
        <v>66.126940227575943</v>
      </c>
      <c r="H14" s="44"/>
      <c r="I14" s="36">
        <f t="shared" si="2"/>
        <v>0</v>
      </c>
      <c r="J14" s="37">
        <f t="shared" ref="J14" si="38">+G14*I14</f>
        <v>0</v>
      </c>
      <c r="K14" s="52"/>
      <c r="L14" s="53">
        <f t="shared" si="4"/>
        <v>409619</v>
      </c>
      <c r="M14" s="27">
        <f t="shared" si="5"/>
        <v>45.001969774188758</v>
      </c>
      <c r="N14" s="27">
        <f>$D14+M10:M14</f>
        <v>65.001969774188751</v>
      </c>
      <c r="O14" s="45"/>
      <c r="P14" s="36">
        <f t="shared" si="6"/>
        <v>0</v>
      </c>
      <c r="Q14" s="37">
        <f t="shared" ref="Q14" si="39">+N14*P14</f>
        <v>0</v>
      </c>
      <c r="R14" s="52"/>
      <c r="S14" s="53">
        <f t="shared" ref="S14:S15" si="40">+$E14*(1-R14)</f>
        <v>409619</v>
      </c>
      <c r="T14" s="27">
        <f t="shared" si="7"/>
        <v>46.126940227575936</v>
      </c>
      <c r="U14" s="27">
        <f t="shared" ref="U14" si="41">$D14+T14</f>
        <v>66.126940227575943</v>
      </c>
      <c r="V14" s="45"/>
      <c r="W14" s="36">
        <f t="shared" si="17"/>
        <v>0</v>
      </c>
      <c r="X14" s="37">
        <f t="shared" ref="X14" si="42">+U14*W14</f>
        <v>0</v>
      </c>
      <c r="Y14" s="52"/>
      <c r="Z14" s="53">
        <f t="shared" si="19"/>
        <v>409619</v>
      </c>
      <c r="AA14" s="27">
        <f t="shared" si="8"/>
        <v>46.126940227575936</v>
      </c>
      <c r="AB14" s="27">
        <f t="shared" si="20"/>
        <v>66.126940227575943</v>
      </c>
      <c r="AC14" s="45"/>
      <c r="AD14" s="36">
        <f t="shared" si="21"/>
        <v>0</v>
      </c>
      <c r="AE14" s="37">
        <f t="shared" si="9"/>
        <v>0</v>
      </c>
      <c r="AF14" s="52"/>
      <c r="AG14" s="53">
        <f t="shared" si="22"/>
        <v>409619</v>
      </c>
      <c r="AH14" s="27">
        <f t="shared" si="10"/>
        <v>46.126940227575936</v>
      </c>
      <c r="AI14" s="27">
        <f t="shared" si="23"/>
        <v>66.126940227575943</v>
      </c>
      <c r="AJ14" s="45"/>
      <c r="AK14" s="36">
        <f t="shared" si="24"/>
        <v>0</v>
      </c>
      <c r="AL14" s="37">
        <f t="shared" si="11"/>
        <v>0</v>
      </c>
      <c r="AM14" s="103"/>
      <c r="AN14" s="104">
        <f t="shared" si="25"/>
        <v>409619</v>
      </c>
      <c r="AO14" s="105">
        <f t="shared" si="12"/>
        <v>46.126940227575936</v>
      </c>
      <c r="AP14" s="105">
        <f t="shared" si="26"/>
        <v>66.126940227575943</v>
      </c>
      <c r="AQ14" s="106"/>
      <c r="AR14" s="101">
        <f t="shared" si="27"/>
        <v>0</v>
      </c>
      <c r="AS14" s="102">
        <f t="shared" si="13"/>
        <v>0</v>
      </c>
    </row>
    <row r="15" spans="1:45" s="3" customFormat="1" ht="35.1" customHeight="1" thickBot="1" x14ac:dyDescent="0.2">
      <c r="A15" s="20"/>
      <c r="B15" s="75" t="s">
        <v>35</v>
      </c>
      <c r="C15" s="25">
        <v>484000</v>
      </c>
      <c r="D15" s="82">
        <v>40</v>
      </c>
      <c r="E15" s="84">
        <v>358004.55</v>
      </c>
      <c r="F15" s="85">
        <f t="shared" si="0"/>
        <v>55.435388688147327</v>
      </c>
      <c r="G15" s="85">
        <f t="shared" si="1"/>
        <v>95.435388688147327</v>
      </c>
      <c r="H15" s="55">
        <v>1</v>
      </c>
      <c r="I15" s="39">
        <f t="shared" si="2"/>
        <v>0.7768860353130016</v>
      </c>
      <c r="J15" s="40">
        <f t="shared" si="3"/>
        <v>74.14242074649006</v>
      </c>
      <c r="K15" s="49"/>
      <c r="L15" s="53">
        <f t="shared" si="4"/>
        <v>358004.55</v>
      </c>
      <c r="M15" s="27">
        <f t="shared" si="5"/>
        <v>54.452171257002362</v>
      </c>
      <c r="N15" s="27">
        <f>$D15+M11:M15</f>
        <v>94.452171257002362</v>
      </c>
      <c r="O15" s="46"/>
      <c r="P15" s="39">
        <f t="shared" si="6"/>
        <v>0</v>
      </c>
      <c r="Q15" s="40">
        <f t="shared" si="14"/>
        <v>0</v>
      </c>
      <c r="R15" s="49"/>
      <c r="S15" s="53">
        <f t="shared" si="40"/>
        <v>358004.55</v>
      </c>
      <c r="T15" s="27">
        <f t="shared" si="7"/>
        <v>55.435388688147327</v>
      </c>
      <c r="U15" s="24">
        <f t="shared" si="16"/>
        <v>95.435388688147327</v>
      </c>
      <c r="V15" s="46"/>
      <c r="W15" s="39">
        <f t="shared" si="17"/>
        <v>0</v>
      </c>
      <c r="X15" s="40">
        <f t="shared" si="18"/>
        <v>0</v>
      </c>
      <c r="Y15" s="49"/>
      <c r="Z15" s="54">
        <f t="shared" si="19"/>
        <v>358004.55</v>
      </c>
      <c r="AA15" s="24">
        <f t="shared" si="8"/>
        <v>55.435388688147327</v>
      </c>
      <c r="AB15" s="24">
        <f t="shared" si="20"/>
        <v>95.435388688147327</v>
      </c>
      <c r="AC15" s="32">
        <v>1</v>
      </c>
      <c r="AD15" s="39">
        <f t="shared" si="21"/>
        <v>0.7768860353130016</v>
      </c>
      <c r="AE15" s="37">
        <f t="shared" si="9"/>
        <v>74.14242074649006</v>
      </c>
      <c r="AF15" s="49">
        <v>0.05</v>
      </c>
      <c r="AG15" s="54">
        <f t="shared" si="22"/>
        <v>340104.32249999995</v>
      </c>
      <c r="AH15" s="24">
        <f t="shared" si="10"/>
        <v>58.663619253739974</v>
      </c>
      <c r="AI15" s="24">
        <f t="shared" si="23"/>
        <v>98.663619253739967</v>
      </c>
      <c r="AJ15" s="94">
        <v>1</v>
      </c>
      <c r="AK15" s="39">
        <f t="shared" si="24"/>
        <v>0.7768860353130016</v>
      </c>
      <c r="AL15" s="37">
        <f t="shared" si="11"/>
        <v>76.650387991669575</v>
      </c>
      <c r="AM15" s="108"/>
      <c r="AN15" s="109">
        <f t="shared" si="25"/>
        <v>358004.55</v>
      </c>
      <c r="AO15" s="110">
        <f t="shared" si="12"/>
        <v>55.435388688147327</v>
      </c>
      <c r="AP15" s="110">
        <f t="shared" si="26"/>
        <v>95.435388688147327</v>
      </c>
      <c r="AQ15" s="111">
        <v>1</v>
      </c>
      <c r="AR15" s="112">
        <f t="shared" si="27"/>
        <v>0.7768860353130016</v>
      </c>
      <c r="AS15" s="102">
        <f t="shared" si="13"/>
        <v>74.14242074649006</v>
      </c>
    </row>
    <row r="16" spans="1:45" s="3" customFormat="1" ht="35.1" customHeight="1" thickBot="1" x14ac:dyDescent="0.2">
      <c r="A16" s="129" t="s">
        <v>22</v>
      </c>
      <c r="B16" s="72" t="s">
        <v>29</v>
      </c>
      <c r="C16" s="21">
        <v>124000</v>
      </c>
      <c r="D16" s="80">
        <v>40</v>
      </c>
      <c r="E16" s="83">
        <v>85516.4</v>
      </c>
      <c r="F16" s="59">
        <f t="shared" ref="F16:F22" si="43">$AB$2*(2-E16/MIN(E$16:E$22))</f>
        <v>60</v>
      </c>
      <c r="G16" s="59">
        <f t="shared" ref="G16:G24" si="44">D16+F16</f>
        <v>100</v>
      </c>
      <c r="H16" s="43">
        <v>1</v>
      </c>
      <c r="I16" s="33">
        <f t="shared" si="2"/>
        <v>0.19903691813804172</v>
      </c>
      <c r="J16" s="34">
        <f t="shared" si="3"/>
        <v>19.903691813804173</v>
      </c>
      <c r="K16" s="50">
        <v>0.03</v>
      </c>
      <c r="L16" s="51">
        <f t="shared" ref="L16:L24" si="45">+$E16*(1-K16)</f>
        <v>82950.907999999996</v>
      </c>
      <c r="M16" s="59">
        <f t="shared" ref="M16:M22" si="46">$AB$2*(2-L16/MIN(L$16:L$22))</f>
        <v>60</v>
      </c>
      <c r="N16" s="23">
        <f t="shared" ref="N16:N24" si="47">$D16+M16</f>
        <v>100</v>
      </c>
      <c r="O16" s="32">
        <v>1</v>
      </c>
      <c r="P16" s="33">
        <f t="shared" si="6"/>
        <v>0.19903691813804172</v>
      </c>
      <c r="Q16" s="34">
        <f t="shared" si="14"/>
        <v>19.903691813804173</v>
      </c>
      <c r="R16" s="50"/>
      <c r="S16" s="51">
        <f t="shared" si="15"/>
        <v>85516.4</v>
      </c>
      <c r="T16" s="59">
        <f>$AB$2*(2-S16/MIN(S$16:S$22))</f>
        <v>31.492763462939664</v>
      </c>
      <c r="U16" s="23">
        <f t="shared" si="16"/>
        <v>71.492763462939664</v>
      </c>
      <c r="V16" s="47"/>
      <c r="W16" s="33">
        <f t="shared" si="17"/>
        <v>0</v>
      </c>
      <c r="X16" s="34">
        <f t="shared" si="18"/>
        <v>0</v>
      </c>
      <c r="Y16" s="52"/>
      <c r="Z16" s="90">
        <f t="shared" ref="Z16:Z24" si="48">+$E16*(1-Y16)</f>
        <v>85516.4</v>
      </c>
      <c r="AA16" s="59">
        <f t="shared" ref="AA16:AA22" si="49">$AB$2*(2-Z16/MIN(Z$16:Z$22))</f>
        <v>60</v>
      </c>
      <c r="AB16" s="27">
        <f t="shared" si="20"/>
        <v>100</v>
      </c>
      <c r="AC16" s="47"/>
      <c r="AD16" s="88">
        <f t="shared" si="21"/>
        <v>0</v>
      </c>
      <c r="AE16" s="34">
        <f t="shared" si="9"/>
        <v>0</v>
      </c>
      <c r="AF16" s="52"/>
      <c r="AG16" s="90">
        <f t="shared" si="22"/>
        <v>85516.4</v>
      </c>
      <c r="AH16" s="91">
        <f t="shared" ref="AH16:AH21" si="50">$AB$2*(2-AG16/MIN(AG$16:AG$18))</f>
        <v>60</v>
      </c>
      <c r="AI16" s="27">
        <f t="shared" si="23"/>
        <v>100</v>
      </c>
      <c r="AJ16" s="47"/>
      <c r="AK16" s="88">
        <f t="shared" si="24"/>
        <v>0</v>
      </c>
      <c r="AL16" s="34">
        <f t="shared" si="11"/>
        <v>0</v>
      </c>
      <c r="AM16" s="103"/>
      <c r="AN16" s="113">
        <f t="shared" si="25"/>
        <v>85516.4</v>
      </c>
      <c r="AO16" s="99">
        <f t="shared" ref="AO16:AO22" si="51">$AB$2*(2-AN16/MIN(AN$16:AN$22))</f>
        <v>42.97544614694209</v>
      </c>
      <c r="AP16" s="105">
        <f t="shared" si="26"/>
        <v>82.97544614694209</v>
      </c>
      <c r="AQ16" s="115"/>
      <c r="AR16" s="116">
        <f t="shared" si="27"/>
        <v>0</v>
      </c>
      <c r="AS16" s="117">
        <f t="shared" si="13"/>
        <v>0</v>
      </c>
    </row>
    <row r="17" spans="1:45" s="3" customFormat="1" ht="35.1" customHeight="1" thickBot="1" x14ac:dyDescent="0.2">
      <c r="A17" s="130"/>
      <c r="B17" s="72" t="s">
        <v>30</v>
      </c>
      <c r="C17" s="25">
        <v>124000</v>
      </c>
      <c r="D17" s="81">
        <v>35</v>
      </c>
      <c r="E17" s="26">
        <v>101161.60000000001</v>
      </c>
      <c r="F17" s="27">
        <f t="shared" si="43"/>
        <v>49.023017807110669</v>
      </c>
      <c r="G17" s="27">
        <f t="shared" si="44"/>
        <v>84.023017807110676</v>
      </c>
      <c r="H17" s="44"/>
      <c r="I17" s="36">
        <f t="shared" si="2"/>
        <v>0</v>
      </c>
      <c r="J17" s="37">
        <f t="shared" si="3"/>
        <v>0</v>
      </c>
      <c r="K17" s="52"/>
      <c r="L17" s="53">
        <f t="shared" si="45"/>
        <v>101161.60000000001</v>
      </c>
      <c r="M17" s="27">
        <f t="shared" si="46"/>
        <v>46.827853409392453</v>
      </c>
      <c r="N17" s="27">
        <f t="shared" si="47"/>
        <v>81.827853409392446</v>
      </c>
      <c r="O17" s="45"/>
      <c r="P17" s="36">
        <f t="shared" si="6"/>
        <v>0</v>
      </c>
      <c r="Q17" s="37">
        <f t="shared" si="14"/>
        <v>0</v>
      </c>
      <c r="R17" s="52"/>
      <c r="S17" s="53">
        <f t="shared" si="15"/>
        <v>101161.60000000001</v>
      </c>
      <c r="T17" s="27">
        <f>$AB$2*(2-S17/MIN(S$16:S$22))</f>
        <v>15.300390806120419</v>
      </c>
      <c r="U17" s="27">
        <f t="shared" si="16"/>
        <v>50.300390806120419</v>
      </c>
      <c r="V17" s="45"/>
      <c r="W17" s="36">
        <f t="shared" si="17"/>
        <v>0</v>
      </c>
      <c r="X17" s="37">
        <f t="shared" si="18"/>
        <v>0</v>
      </c>
      <c r="Y17" s="52"/>
      <c r="Z17" s="53">
        <f t="shared" si="48"/>
        <v>101161.60000000001</v>
      </c>
      <c r="AA17" s="27">
        <f t="shared" si="49"/>
        <v>49.023017807110669</v>
      </c>
      <c r="AB17" s="27">
        <f t="shared" si="20"/>
        <v>84.023017807110676</v>
      </c>
      <c r="AC17" s="45"/>
      <c r="AD17" s="36">
        <f t="shared" si="21"/>
        <v>0</v>
      </c>
      <c r="AE17" s="37">
        <f t="shared" si="9"/>
        <v>0</v>
      </c>
      <c r="AF17" s="52"/>
      <c r="AG17" s="53">
        <f t="shared" si="22"/>
        <v>101161.60000000001</v>
      </c>
      <c r="AH17" s="27">
        <f t="shared" si="50"/>
        <v>49.023017807110669</v>
      </c>
      <c r="AI17" s="27">
        <f t="shared" si="23"/>
        <v>84.023017807110676</v>
      </c>
      <c r="AJ17" s="45"/>
      <c r="AK17" s="36">
        <f t="shared" si="24"/>
        <v>0</v>
      </c>
      <c r="AL17" s="37">
        <f t="shared" si="11"/>
        <v>0</v>
      </c>
      <c r="AM17" s="118">
        <v>0.34150000000000003</v>
      </c>
      <c r="AN17" s="104">
        <f t="shared" si="25"/>
        <v>66614.9136</v>
      </c>
      <c r="AO17" s="105">
        <f t="shared" si="51"/>
        <v>60</v>
      </c>
      <c r="AP17" s="105">
        <f t="shared" si="26"/>
        <v>95</v>
      </c>
      <c r="AQ17" s="107">
        <v>1</v>
      </c>
      <c r="AR17" s="101">
        <f t="shared" si="27"/>
        <v>0.19903691813804172</v>
      </c>
      <c r="AS17" s="102">
        <f t="shared" si="13"/>
        <v>18.908507223113965</v>
      </c>
    </row>
    <row r="18" spans="1:45" s="3" customFormat="1" ht="35.1" customHeight="1" x14ac:dyDescent="0.15">
      <c r="A18" s="130"/>
      <c r="B18" s="72" t="s">
        <v>31</v>
      </c>
      <c r="C18" s="25">
        <v>124000</v>
      </c>
      <c r="D18" s="81">
        <v>40</v>
      </c>
      <c r="E18" s="26">
        <v>99200</v>
      </c>
      <c r="F18" s="27">
        <f t="shared" si="43"/>
        <v>50.399315219069088</v>
      </c>
      <c r="G18" s="27">
        <f t="shared" si="44"/>
        <v>90.399315219069081</v>
      </c>
      <c r="H18" s="44"/>
      <c r="I18" s="36">
        <f t="shared" si="2"/>
        <v>0</v>
      </c>
      <c r="J18" s="36">
        <f t="shared" si="3"/>
        <v>0</v>
      </c>
      <c r="K18" s="52"/>
      <c r="L18" s="53">
        <f t="shared" si="45"/>
        <v>99200</v>
      </c>
      <c r="M18" s="27">
        <f t="shared" si="46"/>
        <v>48.24671672068979</v>
      </c>
      <c r="N18" s="27">
        <f>$D18+M16:M18</f>
        <v>88.24671672068979</v>
      </c>
      <c r="O18" s="45"/>
      <c r="P18" s="36"/>
      <c r="Q18" s="37"/>
      <c r="R18" s="96">
        <v>0.41560000000000002</v>
      </c>
      <c r="S18" s="53">
        <f t="shared" si="15"/>
        <v>57972.480000000003</v>
      </c>
      <c r="T18" s="27">
        <f>$AB$2*(2-S18/MIN(S$16:S$22))</f>
        <v>60</v>
      </c>
      <c r="U18" s="27">
        <f t="shared" si="16"/>
        <v>100</v>
      </c>
      <c r="V18" s="44">
        <v>1</v>
      </c>
      <c r="W18" s="36">
        <f t="shared" si="17"/>
        <v>0.19903691813804172</v>
      </c>
      <c r="X18" s="37">
        <f t="shared" si="18"/>
        <v>19.903691813804173</v>
      </c>
      <c r="Y18" s="52"/>
      <c r="Z18" s="53">
        <f t="shared" si="48"/>
        <v>99200</v>
      </c>
      <c r="AA18" s="27">
        <f t="shared" si="49"/>
        <v>50.399315219069088</v>
      </c>
      <c r="AB18" s="27">
        <f t="shared" si="20"/>
        <v>90.399315219069081</v>
      </c>
      <c r="AC18" s="45"/>
      <c r="AD18" s="36">
        <f t="shared" si="21"/>
        <v>0</v>
      </c>
      <c r="AE18" s="37">
        <f t="shared" si="9"/>
        <v>0</v>
      </c>
      <c r="AF18" s="52"/>
      <c r="AG18" s="53">
        <f t="shared" si="22"/>
        <v>99200</v>
      </c>
      <c r="AH18" s="27">
        <f t="shared" si="50"/>
        <v>50.399315219069088</v>
      </c>
      <c r="AI18" s="27">
        <f t="shared" si="23"/>
        <v>90.399315219069081</v>
      </c>
      <c r="AJ18" s="45"/>
      <c r="AK18" s="36">
        <f t="shared" si="24"/>
        <v>0</v>
      </c>
      <c r="AL18" s="37">
        <f t="shared" si="11"/>
        <v>0</v>
      </c>
      <c r="AM18" s="103"/>
      <c r="AN18" s="104">
        <f t="shared" si="25"/>
        <v>99200</v>
      </c>
      <c r="AO18" s="105">
        <f t="shared" si="51"/>
        <v>30.650638448024644</v>
      </c>
      <c r="AP18" s="105">
        <f t="shared" si="26"/>
        <v>70.650638448024637</v>
      </c>
      <c r="AQ18" s="106"/>
      <c r="AR18" s="101">
        <f t="shared" si="27"/>
        <v>0</v>
      </c>
      <c r="AS18" s="102">
        <f t="shared" si="13"/>
        <v>0</v>
      </c>
    </row>
    <row r="19" spans="1:45" s="3" customFormat="1" ht="35.1" customHeight="1" x14ac:dyDescent="0.15">
      <c r="A19" s="130"/>
      <c r="B19" s="73" t="s">
        <v>36</v>
      </c>
      <c r="C19" s="25">
        <v>124000</v>
      </c>
      <c r="D19" s="81">
        <v>40</v>
      </c>
      <c r="E19" s="26">
        <v>96237.55</v>
      </c>
      <c r="F19" s="27">
        <f t="shared" si="43"/>
        <v>52.477828814122198</v>
      </c>
      <c r="G19" s="27">
        <f t="shared" ref="G19" si="52">D19+F19</f>
        <v>92.477828814122205</v>
      </c>
      <c r="H19" s="44"/>
      <c r="I19" s="36">
        <f t="shared" si="2"/>
        <v>0</v>
      </c>
      <c r="J19" s="36">
        <f t="shared" ref="J19" si="53">+G19*I19</f>
        <v>0</v>
      </c>
      <c r="K19" s="52"/>
      <c r="L19" s="53">
        <f t="shared" ref="L19" si="54">+$E19*(1-K19)</f>
        <v>96237.55</v>
      </c>
      <c r="M19" s="27">
        <f t="shared" si="46"/>
        <v>50.389514241363088</v>
      </c>
      <c r="N19" s="27">
        <f>$D19+M17:M19</f>
        <v>90.389514241363088</v>
      </c>
      <c r="O19" s="45"/>
      <c r="P19" s="36"/>
      <c r="Q19" s="37"/>
      <c r="R19" s="52"/>
      <c r="S19" s="53">
        <f t="shared" ref="S19" si="55">+$E19*(1-R19)</f>
        <v>96237.55</v>
      </c>
      <c r="T19" s="27">
        <f>$AB$2*(2-S19/MIN(S$16:S$22))</f>
        <v>20.396653722593889</v>
      </c>
      <c r="U19" s="27">
        <f t="shared" ref="U19" si="56">$D19+T19</f>
        <v>60.396653722593889</v>
      </c>
      <c r="V19" s="44"/>
      <c r="W19" s="36">
        <f t="shared" si="17"/>
        <v>0</v>
      </c>
      <c r="X19" s="36">
        <f t="shared" ref="X19" si="57">+U19*W19</f>
        <v>0</v>
      </c>
      <c r="Y19" s="52">
        <v>0</v>
      </c>
      <c r="Z19" s="53">
        <f t="shared" si="48"/>
        <v>96237.55</v>
      </c>
      <c r="AA19" s="27">
        <f t="shared" si="49"/>
        <v>52.477828814122198</v>
      </c>
      <c r="AB19" s="27">
        <f t="shared" si="20"/>
        <v>92.477828814122205</v>
      </c>
      <c r="AC19" s="92">
        <v>1</v>
      </c>
      <c r="AD19" s="36">
        <f t="shared" si="21"/>
        <v>0.19903691813804172</v>
      </c>
      <c r="AE19" s="37">
        <f t="shared" si="9"/>
        <v>18.406502043260279</v>
      </c>
      <c r="AF19" s="52"/>
      <c r="AG19" s="53">
        <f t="shared" si="22"/>
        <v>96237.55</v>
      </c>
      <c r="AH19" s="27">
        <f t="shared" si="50"/>
        <v>52.477828814122198</v>
      </c>
      <c r="AI19" s="27">
        <f t="shared" si="23"/>
        <v>92.477828814122205</v>
      </c>
      <c r="AJ19" s="92"/>
      <c r="AK19" s="36">
        <f t="shared" si="24"/>
        <v>0</v>
      </c>
      <c r="AL19" s="37">
        <f t="shared" si="11"/>
        <v>0</v>
      </c>
      <c r="AM19" s="103"/>
      <c r="AN19" s="104">
        <f t="shared" si="25"/>
        <v>96237.55</v>
      </c>
      <c r="AO19" s="105">
        <f t="shared" si="51"/>
        <v>33.318914820299334</v>
      </c>
      <c r="AP19" s="105">
        <f t="shared" si="26"/>
        <v>73.318914820299341</v>
      </c>
      <c r="AQ19" s="119"/>
      <c r="AR19" s="101">
        <f t="shared" si="27"/>
        <v>0</v>
      </c>
      <c r="AS19" s="102">
        <f t="shared" si="13"/>
        <v>0</v>
      </c>
    </row>
    <row r="20" spans="1:45" s="3" customFormat="1" ht="35.1" customHeight="1" x14ac:dyDescent="0.15">
      <c r="A20" s="130"/>
      <c r="B20" s="73" t="s">
        <v>33</v>
      </c>
      <c r="C20" s="25">
        <v>124000</v>
      </c>
      <c r="D20" s="81">
        <v>32</v>
      </c>
      <c r="E20" s="26">
        <v>123400</v>
      </c>
      <c r="F20" s="27">
        <f t="shared" si="43"/>
        <v>33.420115907591985</v>
      </c>
      <c r="G20" s="27">
        <f t="shared" ref="G20" si="58">D20+F20</f>
        <v>65.420115907591992</v>
      </c>
      <c r="H20" s="44"/>
      <c r="I20" s="36">
        <f t="shared" si="2"/>
        <v>0</v>
      </c>
      <c r="J20" s="36">
        <f t="shared" ref="J20" si="59">+G20*I20</f>
        <v>0</v>
      </c>
      <c r="K20" s="52"/>
      <c r="L20" s="53">
        <f t="shared" ref="L20" si="60">+$E20*(1-K20)</f>
        <v>123400</v>
      </c>
      <c r="M20" s="27">
        <f t="shared" si="46"/>
        <v>30.742387533599995</v>
      </c>
      <c r="N20" s="27">
        <f>$D20+M17:M20</f>
        <v>62.742387533599995</v>
      </c>
      <c r="O20" s="45"/>
      <c r="P20" s="36"/>
      <c r="Q20" s="37"/>
      <c r="R20" s="52"/>
      <c r="S20" s="53">
        <f t="shared" ref="S20" si="61">+$E20*(1-R20)</f>
        <v>123400</v>
      </c>
      <c r="T20" s="27">
        <v>0</v>
      </c>
      <c r="U20" s="27">
        <f t="shared" ref="U20" si="62">$D20+T20</f>
        <v>32</v>
      </c>
      <c r="V20" s="44"/>
      <c r="W20" s="36">
        <f t="shared" si="17"/>
        <v>0</v>
      </c>
      <c r="X20" s="36">
        <f t="shared" ref="X20" si="63">+U20*W20</f>
        <v>0</v>
      </c>
      <c r="Y20" s="52"/>
      <c r="Z20" s="53">
        <f t="shared" si="48"/>
        <v>123400</v>
      </c>
      <c r="AA20" s="27">
        <f t="shared" si="49"/>
        <v>33.420115907591985</v>
      </c>
      <c r="AB20" s="27">
        <f t="shared" si="20"/>
        <v>65.420115907591992</v>
      </c>
      <c r="AC20" s="45"/>
      <c r="AD20" s="36">
        <f>+$C20/$C$25*AC20</f>
        <v>0</v>
      </c>
      <c r="AE20" s="37">
        <f t="shared" si="9"/>
        <v>0</v>
      </c>
      <c r="AF20" s="52"/>
      <c r="AG20" s="53">
        <f t="shared" si="22"/>
        <v>123400</v>
      </c>
      <c r="AH20" s="27">
        <f t="shared" si="50"/>
        <v>33.420115907591985</v>
      </c>
      <c r="AI20" s="27">
        <f t="shared" si="23"/>
        <v>65.420115907591992</v>
      </c>
      <c r="AJ20" s="45"/>
      <c r="AK20" s="36">
        <f>+$C20/$C$25*AJ20</f>
        <v>0</v>
      </c>
      <c r="AL20" s="37">
        <f t="shared" si="11"/>
        <v>0</v>
      </c>
      <c r="AM20" s="103"/>
      <c r="AN20" s="104">
        <f t="shared" si="25"/>
        <v>123400</v>
      </c>
      <c r="AO20" s="105">
        <f t="shared" si="51"/>
        <v>8.8537175855467876</v>
      </c>
      <c r="AP20" s="105">
        <f t="shared" si="26"/>
        <v>40.853717585546789</v>
      </c>
      <c r="AQ20" s="106"/>
      <c r="AR20" s="101">
        <f>+$C20/$C$25*AQ20</f>
        <v>0</v>
      </c>
      <c r="AS20" s="102">
        <f t="shared" si="13"/>
        <v>0</v>
      </c>
    </row>
    <row r="21" spans="1:45" s="3" customFormat="1" ht="35.1" customHeight="1" x14ac:dyDescent="0.15">
      <c r="A21" s="130"/>
      <c r="B21" s="73" t="s">
        <v>37</v>
      </c>
      <c r="C21" s="25">
        <v>124000</v>
      </c>
      <c r="D21" s="81">
        <v>40</v>
      </c>
      <c r="E21" s="26">
        <v>97425</v>
      </c>
      <c r="F21" s="27">
        <f t="shared" si="43"/>
        <v>51.644690375179493</v>
      </c>
      <c r="G21" s="27">
        <f t="shared" ref="G21" si="64">D21+F21</f>
        <v>91.644690375179493</v>
      </c>
      <c r="H21" s="44"/>
      <c r="I21" s="36">
        <f t="shared" si="2"/>
        <v>0</v>
      </c>
      <c r="J21" s="36">
        <f t="shared" ref="J21" si="65">+G21*I21</f>
        <v>0</v>
      </c>
      <c r="K21" s="52"/>
      <c r="L21" s="53">
        <f t="shared" ref="L21" si="66">+$E21*(1-K21)</f>
        <v>97425</v>
      </c>
      <c r="M21" s="27">
        <f t="shared" si="46"/>
        <v>49.53060863420567</v>
      </c>
      <c r="N21" s="27">
        <f>$D21+M18:M21</f>
        <v>89.530608634205663</v>
      </c>
      <c r="O21" s="45"/>
      <c r="P21" s="36"/>
      <c r="Q21" s="37"/>
      <c r="R21" s="52"/>
      <c r="S21" s="53">
        <f t="shared" ref="S21" si="67">+$E21*(1-R21)</f>
        <v>97425</v>
      </c>
      <c r="T21" s="27">
        <f>$AB$2*(2-S21/MIN(S$16:S$22))</f>
        <v>19.167674041200243</v>
      </c>
      <c r="U21" s="27">
        <f t="shared" ref="U21" si="68">$D21+T21</f>
        <v>59.167674041200243</v>
      </c>
      <c r="V21" s="44"/>
      <c r="W21" s="36">
        <f t="shared" si="17"/>
        <v>0</v>
      </c>
      <c r="X21" s="36">
        <f t="shared" ref="X21" si="69">+U21*W21</f>
        <v>0</v>
      </c>
      <c r="Y21" s="52"/>
      <c r="Z21" s="53">
        <f t="shared" ref="Z21" si="70">+$E21*(1-Y21)</f>
        <v>97425</v>
      </c>
      <c r="AA21" s="27">
        <f t="shared" si="49"/>
        <v>51.644690375179493</v>
      </c>
      <c r="AB21" s="27">
        <f t="shared" ref="AB21" si="71">$D21+AA21</f>
        <v>91.644690375179493</v>
      </c>
      <c r="AC21" s="45"/>
      <c r="AD21" s="36">
        <f>+$C21/$C$25*AC21</f>
        <v>0</v>
      </c>
      <c r="AE21" s="37">
        <f t="shared" ref="AE21" si="72">+AB21*AD21</f>
        <v>0</v>
      </c>
      <c r="AF21" s="52"/>
      <c r="AG21" s="53">
        <f t="shared" si="22"/>
        <v>97425</v>
      </c>
      <c r="AH21" s="27">
        <f t="shared" si="50"/>
        <v>51.644690375179493</v>
      </c>
      <c r="AI21" s="27">
        <f t="shared" si="23"/>
        <v>91.644690375179493</v>
      </c>
      <c r="AJ21" s="45"/>
      <c r="AK21" s="36">
        <f>+$C21/$C$25*AJ21</f>
        <v>0</v>
      </c>
      <c r="AL21" s="37">
        <f t="shared" si="11"/>
        <v>0</v>
      </c>
      <c r="AM21" s="103"/>
      <c r="AN21" s="104">
        <f t="shared" si="25"/>
        <v>97425</v>
      </c>
      <c r="AO21" s="105">
        <f t="shared" si="51"/>
        <v>32.249379544342752</v>
      </c>
      <c r="AP21" s="105">
        <f t="shared" si="26"/>
        <v>72.249379544342759</v>
      </c>
      <c r="AQ21" s="106"/>
      <c r="AR21" s="101">
        <f>+$C21/$C$25*AQ21</f>
        <v>0</v>
      </c>
      <c r="AS21" s="102">
        <f t="shared" si="13"/>
        <v>0</v>
      </c>
    </row>
    <row r="22" spans="1:45" s="3" customFormat="1" ht="35.1" customHeight="1" thickBot="1" x14ac:dyDescent="0.2">
      <c r="A22" s="131"/>
      <c r="B22" s="75" t="s">
        <v>35</v>
      </c>
      <c r="C22" s="25">
        <v>124000</v>
      </c>
      <c r="D22" s="81">
        <v>40</v>
      </c>
      <c r="E22" s="26">
        <v>123268.88</v>
      </c>
      <c r="F22" s="27">
        <f t="shared" si="43"/>
        <v>33.512112296588718</v>
      </c>
      <c r="G22" s="27">
        <f t="shared" ref="G22" si="73">D22+F22</f>
        <v>73.512112296588725</v>
      </c>
      <c r="H22" s="44"/>
      <c r="I22" s="36">
        <f t="shared" si="2"/>
        <v>0</v>
      </c>
      <c r="J22" s="36">
        <f t="shared" ref="J22" si="74">+G22*I22</f>
        <v>0</v>
      </c>
      <c r="K22" s="49"/>
      <c r="L22" s="67">
        <f t="shared" ref="L22" si="75">+$E22*(1-K22)</f>
        <v>123268.88</v>
      </c>
      <c r="M22" s="27">
        <f t="shared" si="46"/>
        <v>30.837229171740937</v>
      </c>
      <c r="N22" s="27">
        <f>$D22+M19:M22</f>
        <v>70.837229171740944</v>
      </c>
      <c r="O22" s="45"/>
      <c r="P22" s="36"/>
      <c r="Q22" s="37"/>
      <c r="R22" s="52"/>
      <c r="S22" s="53">
        <f t="shared" ref="S22" si="76">+$E22*(1-R22)</f>
        <v>123268.88</v>
      </c>
      <c r="T22" s="27">
        <v>0</v>
      </c>
      <c r="U22" s="27">
        <f t="shared" ref="U22" si="77">$D22+T22</f>
        <v>40</v>
      </c>
      <c r="V22" s="44"/>
      <c r="W22" s="36">
        <f t="shared" si="17"/>
        <v>0</v>
      </c>
      <c r="X22" s="36">
        <f t="shared" ref="X22" si="78">+U22*W22</f>
        <v>0</v>
      </c>
      <c r="Y22" s="89"/>
      <c r="Z22" s="90">
        <f t="shared" ref="Z22" si="79">+$E22*(1-Y22)</f>
        <v>123268.88</v>
      </c>
      <c r="AA22" s="27">
        <f t="shared" si="49"/>
        <v>33.512112296588718</v>
      </c>
      <c r="AB22" s="91">
        <f t="shared" ref="AB22" si="80">$D22+AA22</f>
        <v>73.512112296588725</v>
      </c>
      <c r="AC22" s="38"/>
      <c r="AD22" s="39">
        <f>+$C22/$C$25*AC22</f>
        <v>0</v>
      </c>
      <c r="AE22" s="40">
        <f t="shared" ref="AE22" si="81">+AB22*AD22</f>
        <v>0</v>
      </c>
      <c r="AF22" s="89">
        <v>0.12</v>
      </c>
      <c r="AG22" s="90">
        <f t="shared" si="22"/>
        <v>108476.61440000001</v>
      </c>
      <c r="AH22" s="91">
        <f>$AB$2*(2-AG22/MIN(AG$16:AG$22))</f>
        <v>43.890658820998063</v>
      </c>
      <c r="AI22" s="91">
        <f t="shared" si="23"/>
        <v>83.890658820998055</v>
      </c>
      <c r="AJ22" s="38">
        <v>1</v>
      </c>
      <c r="AK22" s="39">
        <f>+$C22/$C$25*AJ22</f>
        <v>0.19903691813804172</v>
      </c>
      <c r="AL22" s="40">
        <f t="shared" si="11"/>
        <v>16.697338192301377</v>
      </c>
      <c r="AM22" s="120"/>
      <c r="AN22" s="113">
        <f t="shared" si="25"/>
        <v>123268.88</v>
      </c>
      <c r="AO22" s="105">
        <f t="shared" si="51"/>
        <v>8.9718172658562079</v>
      </c>
      <c r="AP22" s="114">
        <f t="shared" si="26"/>
        <v>48.97181726585621</v>
      </c>
      <c r="AQ22" s="107"/>
      <c r="AR22" s="112">
        <f>+$C22/$C$25*AQ22</f>
        <v>0</v>
      </c>
      <c r="AS22" s="121">
        <f t="shared" si="13"/>
        <v>0</v>
      </c>
    </row>
    <row r="23" spans="1:45" s="3" customFormat="1" ht="49.5" customHeight="1" thickBot="1" x14ac:dyDescent="0.2">
      <c r="A23" s="129" t="s">
        <v>23</v>
      </c>
      <c r="B23" s="72" t="s">
        <v>36</v>
      </c>
      <c r="C23" s="21">
        <v>15000</v>
      </c>
      <c r="D23" s="77">
        <v>40</v>
      </c>
      <c r="E23" s="83">
        <v>13692</v>
      </c>
      <c r="F23" s="59">
        <f>$AB$2*(2-E23/MIN(E$23:E$24))</f>
        <v>60</v>
      </c>
      <c r="G23" s="86">
        <f t="shared" si="44"/>
        <v>100</v>
      </c>
      <c r="H23" s="43">
        <v>1</v>
      </c>
      <c r="I23" s="33">
        <f t="shared" si="2"/>
        <v>2.4077046548956663E-2</v>
      </c>
      <c r="J23" s="34">
        <f t="shared" si="3"/>
        <v>2.4077046548956664</v>
      </c>
      <c r="K23" s="50"/>
      <c r="L23" s="51">
        <f t="shared" si="45"/>
        <v>13692</v>
      </c>
      <c r="M23" s="23">
        <f>$AB$2*(2-L23/MIN(L$23:L$24))</f>
        <v>60</v>
      </c>
      <c r="N23" s="23">
        <f t="shared" si="47"/>
        <v>100</v>
      </c>
      <c r="O23" s="32">
        <v>1</v>
      </c>
      <c r="P23" s="33">
        <f>+$C23/$C$25*O23</f>
        <v>2.4077046548956663E-2</v>
      </c>
      <c r="Q23" s="34">
        <f t="shared" si="14"/>
        <v>2.4077046548956664</v>
      </c>
      <c r="R23" s="50"/>
      <c r="S23" s="51">
        <f t="shared" si="15"/>
        <v>13692</v>
      </c>
      <c r="T23" s="23">
        <f>$AB$2*(2-S23/MIN(S$23:S$24))</f>
        <v>60</v>
      </c>
      <c r="U23" s="23">
        <f t="shared" si="16"/>
        <v>100</v>
      </c>
      <c r="V23" s="44">
        <v>1</v>
      </c>
      <c r="W23" s="33">
        <f t="shared" si="17"/>
        <v>2.4077046548956663E-2</v>
      </c>
      <c r="X23" s="34">
        <f t="shared" si="18"/>
        <v>2.4077046548956664</v>
      </c>
      <c r="Y23" s="50">
        <v>0.1</v>
      </c>
      <c r="Z23" s="51">
        <f t="shared" si="48"/>
        <v>12322.800000000001</v>
      </c>
      <c r="AA23" s="23">
        <f>$AB$2*(2-Z23/MIN(Z$23:Z$24))</f>
        <v>60</v>
      </c>
      <c r="AB23" s="23">
        <f t="shared" si="20"/>
        <v>100</v>
      </c>
      <c r="AC23" s="93">
        <v>1</v>
      </c>
      <c r="AD23" s="33">
        <f>+$C23/$C$25*AC23</f>
        <v>2.4077046548956663E-2</v>
      </c>
      <c r="AE23" s="34">
        <f t="shared" si="9"/>
        <v>2.4077046548956664</v>
      </c>
      <c r="AF23" s="50"/>
      <c r="AG23" s="51">
        <f t="shared" si="22"/>
        <v>13692</v>
      </c>
      <c r="AH23" s="23">
        <f>$AB$2*(2-AG23/MIN(AG$23:AG$24))</f>
        <v>51.128977739147238</v>
      </c>
      <c r="AI23" s="23">
        <f t="shared" si="23"/>
        <v>91.128977739147246</v>
      </c>
      <c r="AJ23" s="38"/>
      <c r="AK23" s="39">
        <f t="shared" ref="AK23:AK24" si="82">+$C23/$C$25*AJ23</f>
        <v>0</v>
      </c>
      <c r="AL23" s="40">
        <f t="shared" si="11"/>
        <v>0</v>
      </c>
      <c r="AM23" s="97">
        <v>0.01</v>
      </c>
      <c r="AN23" s="98">
        <f t="shared" si="25"/>
        <v>13555.08</v>
      </c>
      <c r="AO23" s="99">
        <f>$AB$2*(2-AN23/MIN(AN$23:AN$24))</f>
        <v>60</v>
      </c>
      <c r="AP23" s="99">
        <f t="shared" si="26"/>
        <v>100</v>
      </c>
      <c r="AQ23" s="107">
        <v>1</v>
      </c>
      <c r="AR23" s="112">
        <f t="shared" ref="AR23:AR24" si="83">+$C23/$C$25*AQ23</f>
        <v>2.4077046548956663E-2</v>
      </c>
      <c r="AS23" s="121">
        <f t="shared" si="13"/>
        <v>2.4077046548956664</v>
      </c>
    </row>
    <row r="24" spans="1:45" s="3" customFormat="1" ht="49.5" customHeight="1" thickBot="1" x14ac:dyDescent="0.2">
      <c r="A24" s="131"/>
      <c r="B24" s="73" t="s">
        <v>35</v>
      </c>
      <c r="C24" s="21">
        <v>15000</v>
      </c>
      <c r="D24" s="77">
        <v>40</v>
      </c>
      <c r="E24" s="76">
        <v>14910.48</v>
      </c>
      <c r="F24" s="66">
        <f>$AB$2*(2-E24/MIN(E$23:E$24))</f>
        <v>54.660473269062223</v>
      </c>
      <c r="G24" s="60">
        <f t="shared" si="44"/>
        <v>94.660473269062223</v>
      </c>
      <c r="H24" s="44"/>
      <c r="I24" s="36">
        <f t="shared" si="2"/>
        <v>0</v>
      </c>
      <c r="J24" s="37">
        <f t="shared" si="3"/>
        <v>0</v>
      </c>
      <c r="K24" s="52"/>
      <c r="L24" s="65">
        <f t="shared" si="45"/>
        <v>14910.48</v>
      </c>
      <c r="M24" s="66">
        <f>$AB$2*(2-L24/MIN(L$23:L$24))</f>
        <v>54.660473269062223</v>
      </c>
      <c r="N24" s="23">
        <f t="shared" si="47"/>
        <v>94.660473269062223</v>
      </c>
      <c r="O24" s="35"/>
      <c r="P24" s="36"/>
      <c r="Q24" s="37"/>
      <c r="R24" s="52"/>
      <c r="S24" s="65">
        <f t="shared" si="15"/>
        <v>14910.48</v>
      </c>
      <c r="T24" s="66">
        <f>$AB$2*(2-S24/MIN(S$23:S$24))</f>
        <v>54.660473269062223</v>
      </c>
      <c r="U24" s="66">
        <f t="shared" si="16"/>
        <v>94.660473269062223</v>
      </c>
      <c r="V24" s="35"/>
      <c r="W24" s="36"/>
      <c r="X24" s="37"/>
      <c r="Y24" s="52"/>
      <c r="Z24" s="65">
        <f t="shared" si="48"/>
        <v>14910.48</v>
      </c>
      <c r="AA24" s="66">
        <f>$AB$2*(2-Z24/MIN(Z$23:Z$24))</f>
        <v>47.400525854513589</v>
      </c>
      <c r="AB24" s="66">
        <f t="shared" si="20"/>
        <v>87.400525854513589</v>
      </c>
      <c r="AC24" s="35"/>
      <c r="AD24" s="36"/>
      <c r="AE24" s="37"/>
      <c r="AF24" s="52">
        <v>0.2</v>
      </c>
      <c r="AG24" s="65">
        <f t="shared" si="22"/>
        <v>11928.384</v>
      </c>
      <c r="AH24" s="66">
        <f>$AB$2*(2-AG24/MIN(AG$23:AG$24))</f>
        <v>60</v>
      </c>
      <c r="AI24" s="66">
        <f t="shared" si="23"/>
        <v>100</v>
      </c>
      <c r="AJ24" s="38">
        <v>1</v>
      </c>
      <c r="AK24" s="39">
        <f t="shared" si="82"/>
        <v>2.4077046548956663E-2</v>
      </c>
      <c r="AL24" s="40">
        <f t="shared" si="11"/>
        <v>2.4077046548956664</v>
      </c>
      <c r="AM24" s="103"/>
      <c r="AN24" s="104">
        <f t="shared" si="25"/>
        <v>14910.48</v>
      </c>
      <c r="AO24" s="105">
        <f>$AB$2*(2-AN24/MIN(AN$23:AN$24))</f>
        <v>54.000478049557799</v>
      </c>
      <c r="AP24" s="105">
        <f t="shared" si="26"/>
        <v>94.000478049557799</v>
      </c>
      <c r="AQ24" s="107"/>
      <c r="AR24" s="112">
        <f t="shared" si="83"/>
        <v>0</v>
      </c>
      <c r="AS24" s="121">
        <f t="shared" si="13"/>
        <v>0</v>
      </c>
    </row>
    <row r="25" spans="1:45" ht="42.75" customHeight="1" thickBot="1" x14ac:dyDescent="0.25">
      <c r="B25" s="41" t="s">
        <v>12</v>
      </c>
      <c r="C25" s="42">
        <f>C9+C16+C23</f>
        <v>623000</v>
      </c>
      <c r="I25" s="56" t="s">
        <v>13</v>
      </c>
      <c r="J25" s="95">
        <f>SUM(J9:J24)</f>
        <v>96.4538172151899</v>
      </c>
      <c r="P25" s="56" t="s">
        <v>13</v>
      </c>
      <c r="Q25" s="57">
        <f>SUM(Q9:Q24)</f>
        <v>96.115569823434996</v>
      </c>
      <c r="W25" s="56" t="s">
        <v>13</v>
      </c>
      <c r="X25" s="57">
        <f>SUM(X9:X24)</f>
        <v>89.011210765121263</v>
      </c>
      <c r="AD25" s="56" t="s">
        <v>13</v>
      </c>
      <c r="AE25" s="57">
        <f>SUM(AE9:AE24)</f>
        <v>94.956627444646003</v>
      </c>
      <c r="AK25" s="56" t="s">
        <v>13</v>
      </c>
      <c r="AL25" s="57">
        <f>SUM(AL9:AL24)</f>
        <v>95.755430838866616</v>
      </c>
      <c r="AM25" s="122"/>
      <c r="AN25" s="122"/>
      <c r="AO25" s="122"/>
      <c r="AP25" s="122"/>
      <c r="AQ25" s="122"/>
      <c r="AR25" s="123" t="s">
        <v>13</v>
      </c>
      <c r="AS25" s="124">
        <f>SUM(AS9:AS24)</f>
        <v>95.4586326244997</v>
      </c>
    </row>
    <row r="28" spans="1:45" ht="14.25" x14ac:dyDescent="0.2">
      <c r="A28" s="1" t="s">
        <v>2</v>
      </c>
    </row>
    <row r="29" spans="1:45" ht="14.25" x14ac:dyDescent="0.2">
      <c r="A29" s="1" t="s">
        <v>42</v>
      </c>
    </row>
    <row r="31" spans="1:45" ht="56.25" customHeight="1" x14ac:dyDescent="0.2">
      <c r="A31" s="132"/>
      <c r="B31" s="132"/>
      <c r="C31" s="132"/>
      <c r="D31" s="132"/>
      <c r="E31" s="132"/>
      <c r="F31" s="132"/>
      <c r="G31" s="132"/>
    </row>
  </sheetData>
  <mergeCells count="13">
    <mergeCell ref="A31:G31"/>
    <mergeCell ref="E7:J7"/>
    <mergeCell ref="K7:Q7"/>
    <mergeCell ref="R7:X7"/>
    <mergeCell ref="A3:X3"/>
    <mergeCell ref="A4:X4"/>
    <mergeCell ref="A5:X5"/>
    <mergeCell ref="AM7:AS7"/>
    <mergeCell ref="AF7:AL7"/>
    <mergeCell ref="Y7:AE7"/>
    <mergeCell ref="A9:A12"/>
    <mergeCell ref="A23:A24"/>
    <mergeCell ref="A16:A22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Isabel Espejo Badiola</cp:lastModifiedBy>
  <cp:lastPrinted>2021-11-19T11:28:43Z</cp:lastPrinted>
  <dcterms:created xsi:type="dcterms:W3CDTF">2007-03-30T09:59:06Z</dcterms:created>
  <dcterms:modified xsi:type="dcterms:W3CDTF">2022-07-11T11:42:46Z</dcterms:modified>
</cp:coreProperties>
</file>