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OPERACIONES_MEDIOS\2022\EXPEDIENTES COMITE\3 - EVALUACION\S-05268-2022 Sustitución equipos climatización en unidades móviles F-01, F-02 y G-01\Informe\"/>
    </mc:Choice>
  </mc:AlternateContent>
  <xr:revisionPtr revIDLastSave="0" documentId="13_ncr:1_{C02A9CF3-FBB0-42FB-93FA-54308E79C29B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ADJUDICADA'!$A$1:$K$19</definedName>
    <definedName name="_xlnm.Print_Area" localSheetId="1">valoración!$A$2:$X$19</definedName>
  </definedNames>
  <calcPr calcId="191029"/>
</workbook>
</file>

<file path=xl/calcChain.xml><?xml version="1.0" encoding="utf-8"?>
<calcChain xmlns="http://schemas.openxmlformats.org/spreadsheetml/2006/main">
  <c r="J15" i="5" l="1"/>
  <c r="K14" i="6"/>
  <c r="K13" i="6"/>
  <c r="K12" i="6"/>
  <c r="K11" i="6"/>
  <c r="K9" i="6"/>
  <c r="K10" i="6"/>
  <c r="J10" i="6"/>
  <c r="C15" i="6"/>
  <c r="I14" i="6" s="1"/>
  <c r="J13" i="6" l="1"/>
  <c r="I11" i="6"/>
  <c r="J11" i="6" s="1"/>
  <c r="I13" i="6"/>
  <c r="J14" i="6"/>
  <c r="I9" i="6"/>
  <c r="J9" i="6" s="1"/>
  <c r="J12" i="6"/>
  <c r="I12" i="6"/>
  <c r="J15" i="6" l="1"/>
  <c r="A4" i="6"/>
  <c r="A3" i="6"/>
  <c r="A2" i="6"/>
  <c r="C15" i="5" l="1"/>
  <c r="P13" i="5" s="1"/>
  <c r="S14" i="5"/>
  <c r="L14" i="5"/>
  <c r="F14" i="5"/>
  <c r="G14" i="5" s="1"/>
  <c r="S13" i="5"/>
  <c r="L13" i="5"/>
  <c r="F13" i="5"/>
  <c r="G13" i="5" s="1"/>
  <c r="S12" i="5"/>
  <c r="L12" i="5"/>
  <c r="F12" i="5"/>
  <c r="G12" i="5" s="1"/>
  <c r="S11" i="5"/>
  <c r="T11" i="5" s="1"/>
  <c r="U11" i="5" s="1"/>
  <c r="L11" i="5"/>
  <c r="M11" i="5" s="1"/>
  <c r="N11" i="5" s="1"/>
  <c r="F11" i="5"/>
  <c r="G11" i="5" s="1"/>
  <c r="S10" i="5"/>
  <c r="L10" i="5"/>
  <c r="F10" i="5"/>
  <c r="G10" i="5" s="1"/>
  <c r="S9" i="5"/>
  <c r="T9" i="5" s="1"/>
  <c r="U9" i="5" s="1"/>
  <c r="L9" i="5"/>
  <c r="F9" i="5"/>
  <c r="G9" i="5" s="1"/>
  <c r="W10" i="5" l="1"/>
  <c r="I9" i="5"/>
  <c r="I12" i="5"/>
  <c r="J12" i="5" s="1"/>
  <c r="M10" i="5"/>
  <c r="N10" i="5" s="1"/>
  <c r="M14" i="5"/>
  <c r="N14" i="5" s="1"/>
  <c r="M12" i="5"/>
  <c r="N12" i="5" s="1"/>
  <c r="M9" i="5"/>
  <c r="N9" i="5" s="1"/>
  <c r="T10" i="5"/>
  <c r="U10" i="5" s="1"/>
  <c r="M13" i="5"/>
  <c r="N13" i="5" s="1"/>
  <c r="Q13" i="5" s="1"/>
  <c r="T12" i="5"/>
  <c r="U12" i="5" s="1"/>
  <c r="T13" i="5"/>
  <c r="U13" i="5" s="1"/>
  <c r="W9" i="5"/>
  <c r="X9" i="5" s="1"/>
  <c r="P10" i="5"/>
  <c r="W11" i="5"/>
  <c r="X11" i="5" s="1"/>
  <c r="W12" i="5"/>
  <c r="I13" i="5"/>
  <c r="J13" i="5" s="1"/>
  <c r="I14" i="5"/>
  <c r="J14" i="5" s="1"/>
  <c r="P14" i="5"/>
  <c r="P9" i="5"/>
  <c r="W13" i="5"/>
  <c r="J9" i="5"/>
  <c r="J10" i="5"/>
  <c r="I11" i="5"/>
  <c r="J11" i="5" s="1"/>
  <c r="P11" i="5"/>
  <c r="Q11" i="5" s="1"/>
  <c r="P12" i="5"/>
  <c r="W14" i="5"/>
  <c r="T14" i="5"/>
  <c r="U14" i="5" s="1"/>
  <c r="X10" i="5" l="1"/>
  <c r="Q14" i="5"/>
  <c r="Q12" i="5"/>
  <c r="Q10" i="5"/>
  <c r="X13" i="5"/>
  <c r="Q9" i="5"/>
  <c r="X12" i="5"/>
  <c r="X14" i="5"/>
  <c r="X15" i="5" l="1"/>
  <c r="Q15" i="5"/>
</calcChain>
</file>

<file path=xl/sharedStrings.xml><?xml version="1.0" encoding="utf-8"?>
<sst xmlns="http://schemas.openxmlformats.org/spreadsheetml/2006/main" count="73" uniqueCount="31">
  <si>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</si>
  <si>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</si>
  <si>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</si>
  <si>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</si>
  <si>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</si>
  <si>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</si>
  <si>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</si>
  <si>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</si>
  <si>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</si>
  <si>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</si>
  <si>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</si>
  <si>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</si>
  <si>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</si>
  <si>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</si>
  <si>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</si>
  <si>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</si>
  <si>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</si>
  <si>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</si>
  <si>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</si>
  <si>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</si>
  <si>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LOTE 1: Sustitución equipos climatización F-01</t>
  </si>
  <si>
    <t xml:space="preserve">	PROCHASIS, SLL</t>
  </si>
  <si>
    <t>TECNOVE CUSTOM TRUCKS, SL</t>
  </si>
  <si>
    <t>LOTE 2: Sustitución equipos climatización F-02</t>
  </si>
  <si>
    <t>LOTE 3: Sustitución equipos climatización G-01</t>
  </si>
  <si>
    <t>PROPUESTA DE ADJUDICACIÓN DEL EXPEDIENTE S-05268-2022</t>
  </si>
  <si>
    <t>"Sustitución equipos climatización en unidades móviles F-01, F-02 y G-01"</t>
  </si>
  <si>
    <t>Madrid, a 13 de octubre de  2022</t>
  </si>
  <si>
    <t>Alternativa 2: oferta conjunta "Prochasis" por los tres lotes (5% de descuento)</t>
  </si>
  <si>
    <t>Alternativa 2: oferta conjunta "Tecnove" por los tres lotes (5% de descuento)</t>
  </si>
  <si>
    <r>
      <t>Importe Oferta</t>
    </r>
    <r>
      <rPr>
        <b/>
        <i/>
        <sz val="12"/>
        <rFont val="Tahoma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</si>
</sst>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88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right" vertical="center" wrapText="1"/>
    </xf>
    <xf numFmtId="166" fontId="17" fillId="0" borderId="18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2" xfId="0" applyFont="1" applyFill="1" applyBorder="1"/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0" fontId="16" fillId="0" borderId="21" xfId="0" applyNumberFormat="1" applyFont="1" applyFill="1" applyBorder="1" applyAlignment="1">
      <alignment horizontal="left" vertical="top" wrapText="1"/>
    </xf>
    <xf numFmtId="164" fontId="5" fillId="0" borderId="22" xfId="2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0" fillId="5" borderId="0" xfId="0" applyFill="1"/>
    <xf numFmtId="4" fontId="6" fillId="5" borderId="24" xfId="0" applyNumberFormat="1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right" vertical="center" indent="1"/>
    </xf>
    <xf numFmtId="166" fontId="6" fillId="4" borderId="11" xfId="0" applyNumberFormat="1" applyFont="1" applyFill="1" applyBorder="1" applyAlignment="1">
      <alignment horizontal="right" vertical="center" indent="1"/>
    </xf>
    <xf numFmtId="4" fontId="9" fillId="4" borderId="12" xfId="0" applyNumberFormat="1" applyFont="1" applyFill="1" applyBorder="1" applyAlignment="1">
      <alignment horizontal="right" vertical="center" indent="1"/>
    </xf>
    <xf numFmtId="9" fontId="18" fillId="5" borderId="4" xfId="3" applyFont="1" applyFill="1" applyBorder="1" applyAlignment="1">
      <alignment horizontal="left" vertical="center"/>
    </xf>
    <xf numFmtId="9" fontId="18" fillId="5" borderId="19" xfId="3" applyFont="1" applyFill="1" applyBorder="1" applyAlignment="1">
      <alignment horizontal="left" vertical="center"/>
    </xf>
    <xf numFmtId="9" fontId="18" fillId="5" borderId="20" xfId="3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19" xfId="2" applyNumberFormat="1" applyFont="1" applyFill="1" applyBorder="1" applyAlignment="1">
      <alignment horizontal="left" vertical="center"/>
    </xf>
    <xf numFmtId="165" fontId="18" fillId="0" borderId="20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19" xfId="3" applyFont="1" applyFill="1" applyBorder="1" applyAlignment="1">
      <alignment horizontal="left" vertical="center"/>
    </xf>
    <xf numFmtId="9" fontId="18" fillId="0" borderId="20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right" vertical="center" wrapText="1"/>
    </xf>
    <xf numFmtId="166" fontId="17" fillId="0" borderId="3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 wrapText="1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7" xfId="0" applyNumberFormat="1" applyFont="1" applyFill="1" applyBorder="1" applyAlignment="1">
      <alignment horizontal="center" vertical="center"/>
    </xf>
    <xf numFmtId="4" fontId="6" fillId="4" borderId="23" xfId="0" applyNumberFormat="1" applyFont="1" applyFill="1" applyBorder="1" applyAlignment="1">
      <alignment horizontal="center" vertical="center"/>
    </xf>
    <xf numFmtId="4" fontId="6" fillId="4" borderId="25" xfId="0" applyNumberFormat="1" applyFont="1" applyFill="1" applyBorder="1" applyAlignment="1">
      <alignment horizontal="center" vertical="center"/>
    </xf>
    <xf numFmtId="166" fontId="6" fillId="4" borderId="8" xfId="0" applyNumberFormat="1" applyFont="1" applyFill="1" applyBorder="1" applyAlignment="1">
      <alignment horizontal="right" vertical="center" indent="1"/>
    </xf>
    <xf numFmtId="4" fontId="6" fillId="4" borderId="16" xfId="0" applyNumberFormat="1" applyFont="1" applyFill="1" applyBorder="1" applyAlignment="1">
      <alignment horizontal="right" vertical="center" indent="1"/>
    </xf>
    <xf numFmtId="4" fontId="9" fillId="4" borderId="17" xfId="0" applyNumberFormat="1" applyFont="1" applyFill="1" applyBorder="1" applyAlignment="1">
      <alignment horizontal="right" vertical="center" indent="1"/>
    </xf>
    <xf numFmtId="165" fontId="5" fillId="4" borderId="11" xfId="2" applyNumberFormat="1" applyFont="1" applyFill="1" applyBorder="1" applyAlignment="1">
      <alignment horizontal="center" vertical="center"/>
    </xf>
    <xf numFmtId="10" fontId="5" fillId="4" borderId="12" xfId="0" applyNumberFormat="1" applyFont="1" applyFill="1" applyBorder="1" applyAlignment="1">
      <alignment horizontal="center" vertical="center"/>
    </xf>
    <xf numFmtId="164" fontId="5" fillId="4" borderId="13" xfId="2" applyFont="1" applyFill="1" applyBorder="1" applyAlignment="1">
      <alignment horizontal="center" vertical="center"/>
    </xf>
    <xf numFmtId="4" fontId="6" fillId="4" borderId="24" xfId="0" applyNumberFormat="1" applyFont="1" applyFill="1" applyBorder="1" applyAlignment="1">
      <alignment horizontal="center" vertical="center"/>
    </xf>
    <xf numFmtId="165" fontId="5" fillId="4" borderId="15" xfId="2" applyNumberFormat="1" applyFont="1" applyFill="1" applyBorder="1" applyAlignment="1">
      <alignment horizontal="center" vertical="center"/>
    </xf>
    <xf numFmtId="10" fontId="5" fillId="4" borderId="16" xfId="0" applyNumberFormat="1" applyFont="1" applyFill="1" applyBorder="1" applyAlignment="1">
      <alignment horizontal="center" vertical="center"/>
    </xf>
    <xf numFmtId="164" fontId="5" fillId="4" borderId="17" xfId="2" applyFont="1" applyFill="1" applyBorder="1" applyAlignment="1">
      <alignment horizontal="center" vertical="center"/>
    </xf>
    <xf numFmtId="4" fontId="6" fillId="4" borderId="2" xfId="0" applyNumberFormat="1" applyFont="1" applyFill="1" applyBorder="1" applyAlignment="1">
      <alignment horizontal="right" vertical="center" indent="1"/>
    </xf>
    <xf numFmtId="4" fontId="9" fillId="4" borderId="14" xfId="0" applyNumberFormat="1" applyFont="1" applyFill="1" applyBorder="1" applyAlignment="1">
      <alignment horizontal="right" vertical="center" inden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0"/>
  <sheetViews>
    <sheetView tabSelected="1" workbookViewId="0">
      <selection activeCell="K15" sqref="K15"/>
    </sheetView>
  </sheetViews>
  <sheetFormatPr baseColWidth="10" defaultRowHeight="12.75" x14ac:dyDescent="0.2"/>
  <cols>
    <col min="1" max="1" width="32.85546875" customWidth="1"/>
    <col min="2" max="2" width="22.140625" customWidth="1"/>
    <col min="3" max="3" width="29.5703125" customWidth="1"/>
    <col min="4" max="4" width="21.140625" customWidth="1"/>
    <col min="5" max="8" width="16.7109375" customWidth="1"/>
    <col min="9" max="9" width="18.42578125" customWidth="1"/>
    <col min="10" max="10" width="16.7109375" customWidth="1"/>
    <col min="11" max="11" width="16.140625" customWidth="1"/>
  </cols>
  <sheetData>
    <row r="1" spans="1:11" ht="48" customHeight="1" x14ac:dyDescent="0.2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18" x14ac:dyDescent="0.25">
      <c r="A2" s="57" t="str">
        <f>valoración!A3</f>
        <v>PROPUESTA DE ADJUDICACIÓN DEL EXPEDIENTE S-05268-2022</v>
      </c>
      <c r="B2" s="57"/>
      <c r="C2" s="57"/>
      <c r="D2" s="57"/>
      <c r="E2" s="57"/>
      <c r="F2" s="57"/>
      <c r="G2" s="57"/>
      <c r="H2" s="57"/>
      <c r="I2" s="57"/>
      <c r="J2" s="57"/>
      <c r="K2" s="49"/>
    </row>
    <row r="3" spans="1:11" ht="18" x14ac:dyDescent="0.25">
      <c r="A3" s="57" t="str">
        <f>valoración!A4</f>
        <v>"Sustitución equipos climatización en unidades móviles F-01, F-02 y G-01"</v>
      </c>
      <c r="B3" s="57"/>
      <c r="C3" s="57"/>
      <c r="D3" s="57"/>
      <c r="E3" s="57"/>
      <c r="F3" s="57"/>
      <c r="G3" s="57"/>
      <c r="H3" s="57"/>
      <c r="I3" s="57"/>
      <c r="J3" s="57"/>
      <c r="K3" s="49"/>
    </row>
    <row r="4" spans="1:11" ht="18" x14ac:dyDescent="0.25">
      <c r="A4" s="57" t="str">
        <f>valoración!A5</f>
        <v>RESUMEN PUNTUACIÓN TÉCNICA Y ECONÓMICA</v>
      </c>
      <c r="B4" s="57"/>
      <c r="C4" s="57"/>
      <c r="D4" s="57"/>
      <c r="E4" s="57"/>
      <c r="F4" s="57"/>
      <c r="G4" s="57"/>
      <c r="H4" s="57"/>
      <c r="I4" s="57"/>
      <c r="J4" s="57"/>
      <c r="K4" s="49"/>
    </row>
    <row r="5" spans="1:11" x14ac:dyDescent="0.2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13.5" thickBot="1" x14ac:dyDescent="0.25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</row>
    <row r="7" spans="1:11" ht="30.75" customHeight="1" thickBot="1" x14ac:dyDescent="0.25">
      <c r="A7" s="49"/>
      <c r="B7" s="49"/>
      <c r="C7" s="49"/>
      <c r="D7" s="49"/>
      <c r="E7" s="54" t="s">
        <v>15</v>
      </c>
      <c r="F7" s="55"/>
      <c r="G7" s="55"/>
      <c r="H7" s="55"/>
      <c r="I7" s="55"/>
      <c r="J7" s="56"/>
      <c r="K7" s="49"/>
    </row>
    <row r="8" spans="1:11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30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7" t="s">
        <v>19</v>
      </c>
    </row>
    <row r="9" spans="1:11" ht="35.1" customHeight="1" thickBot="1" x14ac:dyDescent="0.25">
      <c r="A9" s="66" t="s">
        <v>20</v>
      </c>
      <c r="B9" s="47" t="s">
        <v>21</v>
      </c>
      <c r="C9" s="19">
        <v>95000</v>
      </c>
      <c r="D9" s="20">
        <v>26</v>
      </c>
      <c r="E9" s="52">
        <v>82105</v>
      </c>
      <c r="F9" s="51">
        <v>74</v>
      </c>
      <c r="G9" s="53">
        <v>100</v>
      </c>
      <c r="H9" s="79">
        <v>1</v>
      </c>
      <c r="I9" s="80">
        <f>+$C9/$C$15*H9</f>
        <v>0.36538461538461536</v>
      </c>
      <c r="J9" s="81">
        <f t="shared" ref="J9:J14" si="0">+G9*I9</f>
        <v>36.538461538461533</v>
      </c>
      <c r="K9" s="74">
        <f>100-($E9*100/$C9)</f>
        <v>13.573684210526309</v>
      </c>
    </row>
    <row r="10" spans="1:11" ht="35.1" customHeight="1" thickBot="1" x14ac:dyDescent="0.25">
      <c r="A10" s="67"/>
      <c r="B10" s="48" t="s">
        <v>22</v>
      </c>
      <c r="C10" s="19">
        <v>95000</v>
      </c>
      <c r="D10" s="24">
        <v>23</v>
      </c>
      <c r="E10" s="21">
        <v>88969</v>
      </c>
      <c r="F10" s="25">
        <v>67.813580171731317</v>
      </c>
      <c r="G10" s="25">
        <v>90.813580171731317</v>
      </c>
      <c r="H10" s="37"/>
      <c r="I10" s="32"/>
      <c r="J10" s="33">
        <f t="shared" si="0"/>
        <v>0</v>
      </c>
      <c r="K10" s="50">
        <f>100-($E10*100/$C10)</f>
        <v>6.3484210526315792</v>
      </c>
    </row>
    <row r="11" spans="1:11" ht="35.1" customHeight="1" thickBot="1" x14ac:dyDescent="0.25">
      <c r="A11" s="66" t="s">
        <v>23</v>
      </c>
      <c r="B11" s="47" t="s">
        <v>21</v>
      </c>
      <c r="C11" s="19">
        <v>100000</v>
      </c>
      <c r="D11" s="20">
        <v>26</v>
      </c>
      <c r="E11" s="52">
        <v>87368</v>
      </c>
      <c r="F11" s="51">
        <v>74</v>
      </c>
      <c r="G11" s="53">
        <v>100</v>
      </c>
      <c r="H11" s="79">
        <v>1</v>
      </c>
      <c r="I11" s="80">
        <f>+$C11/$C$15*H11</f>
        <v>0.38461538461538464</v>
      </c>
      <c r="J11" s="81">
        <f t="shared" si="0"/>
        <v>38.461538461538467</v>
      </c>
      <c r="K11" s="82">
        <f>100-($E11*100/$C11)</f>
        <v>12.632000000000005</v>
      </c>
    </row>
    <row r="12" spans="1:11" ht="35.1" customHeight="1" thickBot="1" x14ac:dyDescent="0.25">
      <c r="A12" s="68"/>
      <c r="B12" s="48" t="s">
        <v>22</v>
      </c>
      <c r="C12" s="19">
        <v>100000</v>
      </c>
      <c r="D12" s="24">
        <v>23</v>
      </c>
      <c r="E12" s="21">
        <v>90132</v>
      </c>
      <c r="F12" s="25">
        <v>71.658914018862745</v>
      </c>
      <c r="G12" s="25">
        <v>94.658914018862745</v>
      </c>
      <c r="H12" s="37"/>
      <c r="I12" s="32">
        <f>+$C12/$C$15*H12</f>
        <v>0</v>
      </c>
      <c r="J12" s="33">
        <f t="shared" si="0"/>
        <v>0</v>
      </c>
      <c r="K12" s="50">
        <f>100-($E12*100/$C12)</f>
        <v>9.867999999999995</v>
      </c>
    </row>
    <row r="13" spans="1:11" ht="35.1" customHeight="1" thickBot="1" x14ac:dyDescent="0.25">
      <c r="A13" s="66" t="s">
        <v>24</v>
      </c>
      <c r="B13" s="47" t="s">
        <v>21</v>
      </c>
      <c r="C13" s="19">
        <v>65000</v>
      </c>
      <c r="D13" s="20">
        <v>25</v>
      </c>
      <c r="E13" s="21">
        <v>58421</v>
      </c>
      <c r="F13" s="22">
        <v>64.745546632772928</v>
      </c>
      <c r="G13" s="46">
        <v>89.745546632772928</v>
      </c>
      <c r="H13" s="36"/>
      <c r="I13" s="29">
        <f>+$C13/$C$15*H13</f>
        <v>0</v>
      </c>
      <c r="J13" s="30">
        <f t="shared" si="0"/>
        <v>0</v>
      </c>
      <c r="K13" s="50">
        <f>100-($E13*100/$C13)</f>
        <v>10.121538461538464</v>
      </c>
    </row>
    <row r="14" spans="1:11" ht="35.1" customHeight="1" thickBot="1" x14ac:dyDescent="0.25">
      <c r="A14" s="68"/>
      <c r="B14" s="71" t="s">
        <v>22</v>
      </c>
      <c r="C14" s="72">
        <v>65000</v>
      </c>
      <c r="D14" s="73">
        <v>22</v>
      </c>
      <c r="E14" s="76">
        <v>51927</v>
      </c>
      <c r="F14" s="77">
        <v>74</v>
      </c>
      <c r="G14" s="78">
        <v>96</v>
      </c>
      <c r="H14" s="83">
        <v>1</v>
      </c>
      <c r="I14" s="84">
        <f>+$C14/$C$15*H14</f>
        <v>0.25</v>
      </c>
      <c r="J14" s="85">
        <f t="shared" si="0"/>
        <v>24</v>
      </c>
      <c r="K14" s="75">
        <f>100-($E14*100/$C14)</f>
        <v>20.112307692307695</v>
      </c>
    </row>
    <row r="15" spans="1:11" ht="35.1" customHeight="1" thickBot="1" x14ac:dyDescent="0.25">
      <c r="A15" s="9"/>
      <c r="B15" s="69" t="s">
        <v>13</v>
      </c>
      <c r="C15" s="70">
        <f>C9+C11+C13</f>
        <v>260000</v>
      </c>
      <c r="D15" s="10"/>
      <c r="E15" s="10"/>
      <c r="F15" s="10"/>
      <c r="G15" s="10"/>
      <c r="H15" s="10"/>
      <c r="I15" s="44" t="s">
        <v>14</v>
      </c>
      <c r="J15" s="45">
        <f>SUM(J9:J14)</f>
        <v>99</v>
      </c>
      <c r="K15" s="49"/>
    </row>
    <row r="16" spans="1:11" x14ac:dyDescent="0.2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</row>
    <row r="17" spans="1:11" x14ac:dyDescent="0.2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</row>
    <row r="18" spans="1:11" ht="14.25" x14ac:dyDescent="0.2">
      <c r="A18" s="1" t="s">
        <v>2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</row>
    <row r="19" spans="1:11" ht="14.25" x14ac:dyDescent="0.2">
      <c r="A19" s="1" t="s">
        <v>27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</row>
    <row r="20" spans="1:11" x14ac:dyDescent="0.2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</row>
  </sheetData>
  <mergeCells count="7">
    <mergeCell ref="A11:A12"/>
    <mergeCell ref="A13:A14"/>
    <mergeCell ref="E7:J7"/>
    <mergeCell ref="A2:J2"/>
    <mergeCell ref="A3:J3"/>
    <mergeCell ref="A4:J4"/>
    <mergeCell ref="A9:A10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21"/>
  <sheetViews>
    <sheetView showGridLines="0" showZeros="0" zoomScaleNormal="100" workbookViewId="0">
      <selection activeCell="C15" sqref="C15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24" width="16.7109375" style="10" customWidth="1"/>
    <col min="25" max="16384" width="11.42578125" style="10"/>
  </cols>
  <sheetData>
    <row r="1" spans="1:28" x14ac:dyDescent="0.2">
      <c r="AA1" s="12" t="s">
        <v>7</v>
      </c>
    </row>
    <row r="2" spans="1:28" s="3" customFormat="1" ht="55.5" customHeight="1" x14ac:dyDescent="0.15">
      <c r="A2" s="2"/>
      <c r="D2" s="4"/>
      <c r="E2" s="4"/>
      <c r="F2" s="4"/>
      <c r="G2" s="4"/>
      <c r="H2" s="5"/>
      <c r="M2" s="11"/>
      <c r="AA2" s="13" t="s">
        <v>18</v>
      </c>
      <c r="AB2" s="14">
        <v>74</v>
      </c>
    </row>
    <row r="3" spans="1:28" s="3" customFormat="1" ht="22.5" customHeight="1" x14ac:dyDescent="0.15">
      <c r="A3" s="65" t="s">
        <v>25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AA3" s="27" t="s">
        <v>9</v>
      </c>
    </row>
    <row r="4" spans="1:28" s="3" customFormat="1" ht="22.5" customHeight="1" x14ac:dyDescent="0.15">
      <c r="A4" s="65" t="s">
        <v>26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</row>
    <row r="5" spans="1:28" s="3" customFormat="1" ht="24.6" customHeight="1" x14ac:dyDescent="0.15">
      <c r="A5" s="65" t="s">
        <v>3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</row>
    <row r="6" spans="1:28" s="3" customFormat="1" ht="24.6" customHeight="1" thickBot="1" x14ac:dyDescent="0.2">
      <c r="A6" s="26"/>
      <c r="B6" s="26"/>
      <c r="C6" s="26"/>
      <c r="D6" s="26"/>
      <c r="E6" s="26"/>
      <c r="F6" s="26"/>
      <c r="G6" s="26"/>
      <c r="H6" s="4"/>
    </row>
    <row r="7" spans="1:28" s="3" customFormat="1" ht="24.75" customHeight="1" thickBot="1" x14ac:dyDescent="0.3">
      <c r="A7" s="2"/>
      <c r="B7" s="6"/>
      <c r="C7" s="7"/>
      <c r="D7" s="7"/>
      <c r="E7" s="59" t="s">
        <v>15</v>
      </c>
      <c r="F7" s="60"/>
      <c r="G7" s="60"/>
      <c r="H7" s="60"/>
      <c r="I7" s="60"/>
      <c r="J7" s="61"/>
      <c r="K7" s="62" t="s">
        <v>28</v>
      </c>
      <c r="L7" s="63"/>
      <c r="M7" s="63"/>
      <c r="N7" s="63"/>
      <c r="O7" s="63"/>
      <c r="P7" s="63"/>
      <c r="Q7" s="64"/>
      <c r="R7" s="62" t="s">
        <v>29</v>
      </c>
      <c r="S7" s="63"/>
      <c r="T7" s="63"/>
      <c r="U7" s="63"/>
      <c r="V7" s="63"/>
      <c r="W7" s="63"/>
      <c r="X7" s="64"/>
    </row>
    <row r="8" spans="1:28" s="8" customFormat="1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30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30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  <c r="R8" s="16" t="s">
        <v>16</v>
      </c>
      <c r="S8" s="16" t="s">
        <v>30</v>
      </c>
      <c r="T8" s="17" t="s">
        <v>1</v>
      </c>
      <c r="U8" s="17" t="s">
        <v>17</v>
      </c>
      <c r="V8" s="17" t="s">
        <v>10</v>
      </c>
      <c r="W8" s="17" t="s">
        <v>11</v>
      </c>
      <c r="X8" s="18" t="s">
        <v>12</v>
      </c>
    </row>
    <row r="9" spans="1:28" s="3" customFormat="1" ht="35.1" customHeight="1" thickBot="1" x14ac:dyDescent="0.2">
      <c r="A9" s="66" t="s">
        <v>20</v>
      </c>
      <c r="B9" s="47" t="s">
        <v>21</v>
      </c>
      <c r="C9" s="19">
        <v>95000</v>
      </c>
      <c r="D9" s="20">
        <v>26</v>
      </c>
      <c r="E9" s="52">
        <v>82105</v>
      </c>
      <c r="F9" s="51">
        <f>$AB$2*(2-E9/MIN(E$9:E$10))</f>
        <v>74</v>
      </c>
      <c r="G9" s="53">
        <f>D9+F9</f>
        <v>100</v>
      </c>
      <c r="H9" s="36">
        <v>1</v>
      </c>
      <c r="I9" s="29">
        <f>+$C9/$C$15*H9</f>
        <v>0.36538461538461536</v>
      </c>
      <c r="J9" s="30">
        <f t="shared" ref="J9:J14" si="0">+G9*I9</f>
        <v>36.538461538461533</v>
      </c>
      <c r="K9" s="40">
        <v>0.05</v>
      </c>
      <c r="L9" s="41">
        <f>+$E9*(1-K9)</f>
        <v>77999.75</v>
      </c>
      <c r="M9" s="22">
        <f>$AB$2*(2-L9/MIN(L$9:L$10))</f>
        <v>74</v>
      </c>
      <c r="N9" s="22">
        <f>$D9+M9</f>
        <v>100</v>
      </c>
      <c r="O9" s="28">
        <v>1</v>
      </c>
      <c r="P9" s="29">
        <f t="shared" ref="P9:P14" si="1">+$C9/$C$15*O9</f>
        <v>0.36538461538461536</v>
      </c>
      <c r="Q9" s="30">
        <f>+N9*P9</f>
        <v>36.538461538461533</v>
      </c>
      <c r="R9" s="40"/>
      <c r="S9" s="41">
        <f>+$E9*(1-R9)</f>
        <v>82105</v>
      </c>
      <c r="T9" s="22">
        <f>$AB$2*(2-S9/MIN(S$9:S$10))</f>
        <v>74</v>
      </c>
      <c r="U9" s="22">
        <f>$D9+T9</f>
        <v>100</v>
      </c>
      <c r="V9" s="28"/>
      <c r="W9" s="29">
        <f t="shared" ref="W9:W14" si="2">+$C9/$C$15*V9</f>
        <v>0</v>
      </c>
      <c r="X9" s="30">
        <f>+U9*W9</f>
        <v>0</v>
      </c>
    </row>
    <row r="10" spans="1:28" s="3" customFormat="1" ht="35.1" customHeight="1" thickBot="1" x14ac:dyDescent="0.2">
      <c r="A10" s="67"/>
      <c r="B10" s="48" t="s">
        <v>22</v>
      </c>
      <c r="C10" s="19">
        <v>95000</v>
      </c>
      <c r="D10" s="24">
        <v>23</v>
      </c>
      <c r="E10" s="21">
        <v>88969</v>
      </c>
      <c r="F10" s="25">
        <f>$AB$2*(2-E10/MIN(E$9:E$10))</f>
        <v>67.813580171731317</v>
      </c>
      <c r="G10" s="25">
        <f>D10+F10</f>
        <v>90.813580171731317</v>
      </c>
      <c r="H10" s="37"/>
      <c r="I10" s="32"/>
      <c r="J10" s="33">
        <f t="shared" si="0"/>
        <v>0</v>
      </c>
      <c r="K10" s="42"/>
      <c r="L10" s="43">
        <f>+$E10*(1-K10)</f>
        <v>88969</v>
      </c>
      <c r="M10" s="25">
        <f>$AB$2*(2-L10/MIN(L$9:L$10))</f>
        <v>63.593242286032968</v>
      </c>
      <c r="N10" s="25">
        <f>$D10+M10</f>
        <v>86.593242286032961</v>
      </c>
      <c r="O10" s="38"/>
      <c r="P10" s="32">
        <f t="shared" si="1"/>
        <v>0</v>
      </c>
      <c r="Q10" s="33">
        <f t="shared" ref="Q10:Q14" si="3">+N10*P10</f>
        <v>0</v>
      </c>
      <c r="R10" s="42">
        <v>0.05</v>
      </c>
      <c r="S10" s="43">
        <f t="shared" ref="S10:S14" si="4">+$E10*(1-R10)</f>
        <v>84520.55</v>
      </c>
      <c r="T10" s="25">
        <f>$AB$2*(2-S10/MIN(S$9:S$10))</f>
        <v>71.822901163144749</v>
      </c>
      <c r="U10" s="25">
        <f t="shared" ref="U10:U14" si="5">$D10+T10</f>
        <v>94.822901163144749</v>
      </c>
      <c r="V10" s="31">
        <v>1</v>
      </c>
      <c r="W10" s="32">
        <f t="shared" si="2"/>
        <v>0.36538461538461536</v>
      </c>
      <c r="X10" s="33">
        <f t="shared" ref="X10:X14" si="6">+U10*W10</f>
        <v>34.646829271149038</v>
      </c>
    </row>
    <row r="11" spans="1:28" s="3" customFormat="1" ht="35.1" customHeight="1" thickBot="1" x14ac:dyDescent="0.2">
      <c r="A11" s="66" t="s">
        <v>23</v>
      </c>
      <c r="B11" s="47" t="s">
        <v>21</v>
      </c>
      <c r="C11" s="19">
        <v>100000</v>
      </c>
      <c r="D11" s="20">
        <v>26</v>
      </c>
      <c r="E11" s="52">
        <v>87368</v>
      </c>
      <c r="F11" s="51">
        <f>$AB$2*(2-E11/MIN(E$11:E$12))</f>
        <v>74</v>
      </c>
      <c r="G11" s="53">
        <f t="shared" ref="G11:G14" si="7">D11+F11</f>
        <v>100</v>
      </c>
      <c r="H11" s="36">
        <v>1</v>
      </c>
      <c r="I11" s="29">
        <f>+$C11/$C$15*H11</f>
        <v>0.38461538461538464</v>
      </c>
      <c r="J11" s="30">
        <f t="shared" si="0"/>
        <v>38.461538461538467</v>
      </c>
      <c r="K11" s="40">
        <v>0.05</v>
      </c>
      <c r="L11" s="41">
        <f t="shared" ref="L11:L14" si="8">+$E11*(1-K11)</f>
        <v>82999.599999999991</v>
      </c>
      <c r="M11" s="22">
        <f>$AB$2*(2-L11/MIN(L$11:L$12))</f>
        <v>74</v>
      </c>
      <c r="N11" s="22">
        <f t="shared" ref="N11:N14" si="9">$D11+M11</f>
        <v>100</v>
      </c>
      <c r="O11" s="28">
        <v>1</v>
      </c>
      <c r="P11" s="29">
        <f t="shared" si="1"/>
        <v>0.38461538461538464</v>
      </c>
      <c r="Q11" s="30">
        <f t="shared" si="3"/>
        <v>38.461538461538467</v>
      </c>
      <c r="R11" s="40"/>
      <c r="S11" s="41">
        <f t="shared" si="4"/>
        <v>87368</v>
      </c>
      <c r="T11" s="22">
        <f>$AB$2*(2-S11/MIN(S$11:S$12))</f>
        <v>72.493993604701416</v>
      </c>
      <c r="U11" s="22">
        <f t="shared" si="5"/>
        <v>98.493993604701416</v>
      </c>
      <c r="V11" s="39"/>
      <c r="W11" s="29">
        <f t="shared" si="2"/>
        <v>0</v>
      </c>
      <c r="X11" s="30">
        <f t="shared" si="6"/>
        <v>0</v>
      </c>
    </row>
    <row r="12" spans="1:28" s="3" customFormat="1" ht="35.1" customHeight="1" thickBot="1" x14ac:dyDescent="0.2">
      <c r="A12" s="68"/>
      <c r="B12" s="48" t="s">
        <v>22</v>
      </c>
      <c r="C12" s="19">
        <v>100000</v>
      </c>
      <c r="D12" s="24">
        <v>23</v>
      </c>
      <c r="E12" s="21">
        <v>90132</v>
      </c>
      <c r="F12" s="25">
        <f>$AB$2*(2-E12/MIN(E$11:E$12))</f>
        <v>71.658914018862745</v>
      </c>
      <c r="G12" s="25">
        <f t="shared" si="7"/>
        <v>94.658914018862745</v>
      </c>
      <c r="H12" s="37"/>
      <c r="I12" s="32">
        <f>+$C12/$C$15*H12</f>
        <v>0</v>
      </c>
      <c r="J12" s="33">
        <f t="shared" si="0"/>
        <v>0</v>
      </c>
      <c r="K12" s="42"/>
      <c r="L12" s="43">
        <f t="shared" si="8"/>
        <v>90132</v>
      </c>
      <c r="M12" s="25">
        <f>$AB$2*(2-L12/MIN(L$11:L$12))</f>
        <v>67.640962125118676</v>
      </c>
      <c r="N12" s="25">
        <f t="shared" si="9"/>
        <v>90.640962125118676</v>
      </c>
      <c r="O12" s="38"/>
      <c r="P12" s="32">
        <f t="shared" si="1"/>
        <v>0</v>
      </c>
      <c r="Q12" s="33">
        <f t="shared" si="3"/>
        <v>0</v>
      </c>
      <c r="R12" s="42">
        <v>0.05</v>
      </c>
      <c r="S12" s="43">
        <f t="shared" si="4"/>
        <v>85625.4</v>
      </c>
      <c r="T12" s="25">
        <f>$AB$2*(2-S12/MIN(S$11:S$12))</f>
        <v>74</v>
      </c>
      <c r="U12" s="25">
        <f t="shared" si="5"/>
        <v>97</v>
      </c>
      <c r="V12" s="31">
        <v>1</v>
      </c>
      <c r="W12" s="32">
        <f t="shared" si="2"/>
        <v>0.38461538461538464</v>
      </c>
      <c r="X12" s="33">
        <f t="shared" si="6"/>
        <v>37.307692307692307</v>
      </c>
    </row>
    <row r="13" spans="1:28" s="3" customFormat="1" ht="35.1" customHeight="1" thickBot="1" x14ac:dyDescent="0.2">
      <c r="A13" s="66" t="s">
        <v>24</v>
      </c>
      <c r="B13" s="47" t="s">
        <v>21</v>
      </c>
      <c r="C13" s="19">
        <v>65000</v>
      </c>
      <c r="D13" s="20">
        <v>25</v>
      </c>
      <c r="E13" s="21">
        <v>58421</v>
      </c>
      <c r="F13" s="22">
        <f>$AB$2*(2-E13/MIN(E$13:E$14))</f>
        <v>64.745546632772928</v>
      </c>
      <c r="G13" s="46">
        <f t="shared" si="7"/>
        <v>89.745546632772928</v>
      </c>
      <c r="H13" s="36"/>
      <c r="I13" s="29">
        <f>+$C13/$C$15*H13</f>
        <v>0</v>
      </c>
      <c r="J13" s="30">
        <f t="shared" si="0"/>
        <v>0</v>
      </c>
      <c r="K13" s="40">
        <v>0.05</v>
      </c>
      <c r="L13" s="41">
        <f t="shared" si="8"/>
        <v>55499.95</v>
      </c>
      <c r="M13" s="22">
        <f>$AB$2*(2-L13/MIN(L$13:L$14))</f>
        <v>68.908269301134283</v>
      </c>
      <c r="N13" s="22">
        <f t="shared" si="9"/>
        <v>93.908269301134283</v>
      </c>
      <c r="O13" s="28">
        <v>1</v>
      </c>
      <c r="P13" s="29">
        <f t="shared" si="1"/>
        <v>0.25</v>
      </c>
      <c r="Q13" s="30">
        <f t="shared" si="3"/>
        <v>23.477067325283571</v>
      </c>
      <c r="R13" s="40"/>
      <c r="S13" s="41">
        <f t="shared" si="4"/>
        <v>58421</v>
      </c>
      <c r="T13" s="22">
        <f>$AB$2*(2-S13/MIN(S$13:S$14))</f>
        <v>60.363733297655706</v>
      </c>
      <c r="U13" s="22">
        <f t="shared" si="5"/>
        <v>85.363733297655699</v>
      </c>
      <c r="V13" s="39"/>
      <c r="W13" s="29">
        <f t="shared" si="2"/>
        <v>0</v>
      </c>
      <c r="X13" s="30">
        <f t="shared" si="6"/>
        <v>0</v>
      </c>
    </row>
    <row r="14" spans="1:28" s="3" customFormat="1" ht="35.1" customHeight="1" thickBot="1" x14ac:dyDescent="0.2">
      <c r="A14" s="68"/>
      <c r="B14" s="48" t="s">
        <v>22</v>
      </c>
      <c r="C14" s="23">
        <v>65000</v>
      </c>
      <c r="D14" s="24">
        <v>22</v>
      </c>
      <c r="E14" s="52">
        <v>51927</v>
      </c>
      <c r="F14" s="86">
        <f>$AB$2*(2-E14/MIN(E$13:E$14))</f>
        <v>74</v>
      </c>
      <c r="G14" s="87">
        <f t="shared" si="7"/>
        <v>96</v>
      </c>
      <c r="H14" s="37">
        <v>1</v>
      </c>
      <c r="I14" s="32">
        <f>+$C14/$C$15*H14</f>
        <v>0.25</v>
      </c>
      <c r="J14" s="33">
        <f t="shared" si="0"/>
        <v>24</v>
      </c>
      <c r="K14" s="42"/>
      <c r="L14" s="43">
        <f t="shared" si="8"/>
        <v>51927</v>
      </c>
      <c r="M14" s="25">
        <f>$AB$2*(2-L14/MIN(L$13:L$14))</f>
        <v>74</v>
      </c>
      <c r="N14" s="25">
        <f t="shared" si="9"/>
        <v>96</v>
      </c>
      <c r="O14" s="31"/>
      <c r="P14" s="32">
        <f t="shared" si="1"/>
        <v>0</v>
      </c>
      <c r="Q14" s="33">
        <f t="shared" si="3"/>
        <v>0</v>
      </c>
      <c r="R14" s="42">
        <v>0.05</v>
      </c>
      <c r="S14" s="43">
        <f t="shared" si="4"/>
        <v>49330.649999999994</v>
      </c>
      <c r="T14" s="25">
        <f>$AB$2*(2-S14/MIN(S$13:S$14))</f>
        <v>74</v>
      </c>
      <c r="U14" s="25">
        <f t="shared" si="5"/>
        <v>96</v>
      </c>
      <c r="V14" s="31">
        <v>1</v>
      </c>
      <c r="W14" s="32">
        <f t="shared" si="2"/>
        <v>0.25</v>
      </c>
      <c r="X14" s="33">
        <f t="shared" si="6"/>
        <v>24</v>
      </c>
    </row>
    <row r="15" spans="1:28" ht="42.75" customHeight="1" thickBot="1" x14ac:dyDescent="0.25">
      <c r="B15" s="34" t="s">
        <v>13</v>
      </c>
      <c r="C15" s="35">
        <f>C9+C11+C13</f>
        <v>260000</v>
      </c>
      <c r="I15" s="44" t="s">
        <v>14</v>
      </c>
      <c r="J15" s="45">
        <f>SUM(J9:J14)</f>
        <v>99</v>
      </c>
      <c r="P15" s="44" t="s">
        <v>14</v>
      </c>
      <c r="Q15" s="45">
        <f>SUM(Q9:Q14)</f>
        <v>98.477067325283571</v>
      </c>
      <c r="W15" s="44" t="s">
        <v>14</v>
      </c>
      <c r="X15" s="45">
        <f>SUM(X9:X14)</f>
        <v>95.954521578841337</v>
      </c>
    </row>
    <row r="18" spans="1:7" ht="14.25" x14ac:dyDescent="0.2">
      <c r="A18" s="1" t="s">
        <v>2</v>
      </c>
    </row>
    <row r="19" spans="1:7" ht="14.25" x14ac:dyDescent="0.2">
      <c r="A19" s="1" t="s">
        <v>27</v>
      </c>
    </row>
    <row r="21" spans="1:7" ht="56.25" customHeight="1" x14ac:dyDescent="0.2">
      <c r="A21" s="58"/>
      <c r="B21" s="58"/>
      <c r="C21" s="58"/>
      <c r="D21" s="58"/>
      <c r="E21" s="58"/>
      <c r="F21" s="58"/>
      <c r="G21" s="58"/>
    </row>
  </sheetData>
  <mergeCells count="10">
    <mergeCell ref="A21:G21"/>
    <mergeCell ref="E7:J7"/>
    <mergeCell ref="K7:Q7"/>
    <mergeCell ref="R7:X7"/>
    <mergeCell ref="A3:X3"/>
    <mergeCell ref="A4:X4"/>
    <mergeCell ref="A5:X5"/>
    <mergeCell ref="A9:A10"/>
    <mergeCell ref="A11:A12"/>
    <mergeCell ref="A13:A14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Nuria Santome Rodriguez</cp:lastModifiedBy>
  <cp:lastPrinted>2021-11-19T11:28:43Z</cp:lastPrinted>
  <dcterms:created xsi:type="dcterms:W3CDTF">2007-03-30T09:59:06Z</dcterms:created>
  <dcterms:modified xsi:type="dcterms:W3CDTF">2022-10-10T09:22:58Z</dcterms:modified>
</cp:coreProperties>
</file>