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OPERACIONES_MEDIOS\2022\EXPEDIENTES COMITE\4 - ADJUDICACION\S-07111-2022 Equipamiento para adecuacion de UUMM de RTVE\Informe\"/>
    </mc:Choice>
  </mc:AlternateContent>
  <xr:revisionPtr revIDLastSave="0" documentId="13_ncr:1_{18C38167-3A1D-4E9B-A0FB-EB2ED5E82525}" xr6:coauthVersionLast="36" xr6:coauthVersionMax="36" xr10:uidLastSave="{00000000-0000-0000-0000-000000000000}"/>
  <bookViews>
    <workbookView xWindow="0" yWindow="0" windowWidth="28800" windowHeight="11400" tabRatio="752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ADJUDICADA'!$A$1:$K$22</definedName>
    <definedName name="_xlnm.Print_Area" localSheetId="1">valoración!$A$2:$Q$22</definedName>
  </definedNames>
  <calcPr calcId="191029"/>
</workbook>
</file>

<file path=xl/calcChain.xml><?xml version="1.0" encoding="utf-8"?>
<calcChain xmlns="http://schemas.openxmlformats.org/spreadsheetml/2006/main">
  <c r="I17" i="6" l="1"/>
  <c r="I15" i="6"/>
  <c r="I13" i="6"/>
  <c r="I12" i="6"/>
  <c r="I10" i="6"/>
  <c r="J13" i="6"/>
  <c r="J10" i="6"/>
  <c r="F17" i="6"/>
  <c r="F15" i="6"/>
  <c r="G15" i="6" s="1"/>
  <c r="J15" i="6" s="1"/>
  <c r="F16" i="6"/>
  <c r="G16" i="6" s="1"/>
  <c r="J16" i="6" s="1"/>
  <c r="F14" i="6"/>
  <c r="G14" i="6" s="1"/>
  <c r="J14" i="6" s="1"/>
  <c r="F13" i="6"/>
  <c r="G13" i="6" s="1"/>
  <c r="F12" i="6"/>
  <c r="G12" i="6" s="1"/>
  <c r="J12" i="6" s="1"/>
  <c r="F11" i="6"/>
  <c r="G11" i="6" s="1"/>
  <c r="J11" i="6" s="1"/>
  <c r="F10" i="6"/>
  <c r="G10" i="6" s="1"/>
  <c r="F9" i="6"/>
  <c r="G9" i="6" s="1"/>
  <c r="J9" i="6" s="1"/>
  <c r="F9" i="5"/>
  <c r="K9" i="6"/>
  <c r="K10" i="6"/>
  <c r="G17" i="6"/>
  <c r="J17" i="6" s="1"/>
  <c r="C18" i="6"/>
  <c r="P17" i="5"/>
  <c r="P16" i="5"/>
  <c r="P13" i="5"/>
  <c r="P12" i="5"/>
  <c r="P10" i="5"/>
  <c r="M17" i="5"/>
  <c r="M16" i="5"/>
  <c r="M15" i="5"/>
  <c r="M14" i="5"/>
  <c r="M13" i="5"/>
  <c r="M12" i="5"/>
  <c r="M11" i="5"/>
  <c r="M10" i="5"/>
  <c r="M9" i="5"/>
  <c r="G13" i="5"/>
  <c r="F17" i="5"/>
  <c r="F16" i="5"/>
  <c r="G16" i="5" s="1"/>
  <c r="F15" i="5"/>
  <c r="G15" i="5" s="1"/>
  <c r="F14" i="5"/>
  <c r="G14" i="5" s="1"/>
  <c r="F13" i="5"/>
  <c r="F12" i="5"/>
  <c r="F11" i="5"/>
  <c r="C18" i="5"/>
  <c r="L16" i="5"/>
  <c r="L15" i="5"/>
  <c r="L14" i="5"/>
  <c r="L13" i="5"/>
  <c r="J18" i="6" l="1"/>
  <c r="K17" i="6"/>
  <c r="K16" i="6"/>
  <c r="K15" i="6"/>
  <c r="K14" i="6"/>
  <c r="K13" i="6"/>
  <c r="K12" i="6"/>
  <c r="K11" i="6"/>
  <c r="A4" i="6" l="1"/>
  <c r="A3" i="6"/>
  <c r="A2" i="6"/>
  <c r="L17" i="5" l="1"/>
  <c r="G17" i="5"/>
  <c r="L12" i="5"/>
  <c r="I12" i="5"/>
  <c r="G12" i="5"/>
  <c r="P11" i="5"/>
  <c r="L11" i="5"/>
  <c r="G11" i="5"/>
  <c r="L10" i="5"/>
  <c r="I10" i="5"/>
  <c r="F10" i="5"/>
  <c r="G10" i="5" s="1"/>
  <c r="L9" i="5"/>
  <c r="I9" i="5"/>
  <c r="G9" i="5"/>
  <c r="N11" i="5" l="1"/>
  <c r="N14" i="5"/>
  <c r="N13" i="5"/>
  <c r="N16" i="5"/>
  <c r="N15" i="5"/>
  <c r="N12" i="5"/>
  <c r="Q12" i="5" s="1"/>
  <c r="N17" i="5"/>
  <c r="Q17" i="5" s="1"/>
  <c r="P9" i="5"/>
  <c r="I11" i="5"/>
  <c r="J11" i="5" s="1"/>
  <c r="I17" i="5"/>
  <c r="J17" i="5" s="1"/>
  <c r="J10" i="5"/>
  <c r="Q11" i="5"/>
  <c r="J12" i="5"/>
  <c r="J9" i="5"/>
  <c r="I16" i="5"/>
  <c r="J16" i="5" s="1"/>
  <c r="P14" i="5"/>
  <c r="P15" i="5"/>
  <c r="I13" i="5"/>
  <c r="J13" i="5" s="1"/>
  <c r="I14" i="5"/>
  <c r="J14" i="5" s="1"/>
  <c r="I15" i="5"/>
  <c r="J15" i="5" s="1"/>
  <c r="N10" i="5"/>
  <c r="Q10" i="5" s="1"/>
  <c r="N9" i="5"/>
  <c r="Q13" i="5" l="1"/>
  <c r="J18" i="5"/>
  <c r="Q16" i="5"/>
  <c r="Q14" i="5"/>
  <c r="Q15" i="5"/>
  <c r="Q9" i="5"/>
  <c r="Q18" i="5" l="1"/>
</calcChain>
</file>

<file path=xl/sharedStrings.xml><?xml version="1.0" encoding="utf-8"?>
<sst xmlns="http://schemas.openxmlformats.org/spreadsheetml/2006/main" count="74" uniqueCount="37">
  <si>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</si>
  <si>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</si>
  <si>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</si>
  <si>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</si>
  <si>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</si>
  <si>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</si>
  <si>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</si>
  <si>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</si>
  <si>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</si>
  <si>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</si>
  <si>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</si>
  <si>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</si>
  <si>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</si>
  <si>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</si>
  <si>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</si>
  <si>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</si>
  <si>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</si>
  <si>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</si>
  <si>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%  Ahorro s/ licitación</t>
  </si>
  <si>
    <t>PROPUESTA DE ADJUDICACIÓN DEL EXPEDIENTE S-07111-2022</t>
  </si>
  <si>
    <t xml:space="preserve">LOTE 1: ELECTRÓNICA DE RED PARA AUDIO Y CONTROL DE LAS
UNIDADES MÓVILES F02 Y G01 </t>
  </si>
  <si>
    <t>LOTE 2: SUMINISTRO DE PANELES DE CONEXIÓN</t>
  </si>
  <si>
    <t>LOTE 3: SUMINISTRO DE SISTEMA DE SINCRONISMOS</t>
  </si>
  <si>
    <t xml:space="preserve">LOTE 4: SISTEMA DE KVM </t>
  </si>
  <si>
    <t>LOTE 5:ADAPTACIÓN DE UNIDADES MÓVILES F01 y AUXILIAR A NORMA
UNE 60364-7-717</t>
  </si>
  <si>
    <t>Valor estimado</t>
  </si>
  <si>
    <t>Importe Oferta</t>
  </si>
  <si>
    <t>NTL LANBASE</t>
  </si>
  <si>
    <t>SERV INTEGRALES UNITECNC</t>
  </si>
  <si>
    <t>CABLEADOS Y CONEXIONES</t>
  </si>
  <si>
    <t>ALBALA INGENIEROS</t>
  </si>
  <si>
    <t>BROAD SERVICE</t>
  </si>
  <si>
    <t>DATOS MEDIA TECHNOLOGIES</t>
  </si>
  <si>
    <t>PROCHASIS</t>
  </si>
  <si>
    <t>Alternativa 2: oferta conjunta "A" por los tres lotes 1,2 Y 4 (0,2% Dto lotes 1 y 2, 0,3% lote 4)</t>
  </si>
  <si>
    <t>"Equipamiento para adecuación de UUMM de RTVE"</t>
  </si>
  <si>
    <t>Madrid, a 24 de noviembre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</si>
</sst>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  <numFmt numFmtId="167" formatCode="0.0%"/>
  </numFmts>
  <fonts count="19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80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166" fontId="6" fillId="4" borderId="7" xfId="0" applyNumberFormat="1" applyFont="1" applyFill="1" applyBorder="1" applyAlignment="1">
      <alignment horizontal="right" vertical="center" indent="1"/>
    </xf>
    <xf numFmtId="4" fontId="6" fillId="4" borderId="2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center" vertical="center"/>
    </xf>
    <xf numFmtId="166" fontId="6" fillId="0" borderId="15" xfId="0" applyNumberFormat="1" applyFont="1" applyFill="1" applyBorder="1" applyAlignment="1">
      <alignment horizontal="right" vertical="center" indent="1"/>
    </xf>
    <xf numFmtId="4" fontId="6" fillId="0" borderId="16" xfId="0" applyNumberFormat="1" applyFont="1" applyFill="1" applyBorder="1" applyAlignment="1">
      <alignment horizontal="right" vertical="center" indent="1"/>
    </xf>
    <xf numFmtId="4" fontId="6" fillId="0" borderId="14" xfId="0" applyNumberFormat="1" applyFont="1" applyFill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right" vertical="center" indent="1"/>
    </xf>
    <xf numFmtId="0" fontId="13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/>
    </xf>
    <xf numFmtId="0" fontId="9" fillId="0" borderId="18" xfId="0" applyNumberFormat="1" applyFont="1" applyFill="1" applyBorder="1" applyAlignment="1">
      <alignment horizontal="right" vertical="center" wrapText="1"/>
    </xf>
    <xf numFmtId="166" fontId="16" fillId="0" borderId="18" xfId="0" applyNumberFormat="1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9" fontId="5" fillId="0" borderId="7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right" vertical="center" indent="1"/>
    </xf>
    <xf numFmtId="165" fontId="5" fillId="0" borderId="15" xfId="2" applyNumberFormat="1" applyFont="1" applyFill="1" applyBorder="1" applyAlignment="1">
      <alignment horizontal="center" vertical="center"/>
    </xf>
    <xf numFmtId="0" fontId="15" fillId="0" borderId="21" xfId="0" applyNumberFormat="1" applyFont="1" applyFill="1" applyBorder="1" applyAlignment="1">
      <alignment horizontal="left" vertical="top" wrapText="1"/>
    </xf>
    <xf numFmtId="164" fontId="5" fillId="0" borderId="22" xfId="2" applyFont="1" applyFill="1" applyBorder="1" applyAlignment="1">
      <alignment horizontal="center" vertical="center"/>
    </xf>
    <xf numFmtId="4" fontId="6" fillId="4" borderId="12" xfId="0" applyNumberFormat="1" applyFont="1" applyFill="1" applyBorder="1" applyAlignment="1">
      <alignment horizontal="right" vertical="center" indent="1"/>
    </xf>
    <xf numFmtId="0" fontId="6" fillId="0" borderId="11" xfId="0" applyNumberFormat="1" applyFont="1" applyFill="1" applyBorder="1" applyAlignment="1">
      <alignment horizontal="center" vertical="center" wrapText="1"/>
    </xf>
    <xf numFmtId="0" fontId="6" fillId="0" borderId="7" xfId="0" applyNumberFormat="1" applyFont="1" applyFill="1" applyBorder="1" applyAlignment="1">
      <alignment horizontal="center" vertical="center" wrapText="1"/>
    </xf>
    <xf numFmtId="0" fontId="0" fillId="5" borderId="0" xfId="0" applyFill="1"/>
    <xf numFmtId="4" fontId="6" fillId="5" borderId="24" xfId="0" applyNumberFormat="1" applyFont="1" applyFill="1" applyBorder="1" applyAlignment="1">
      <alignment horizontal="center" vertical="center"/>
    </xf>
    <xf numFmtId="0" fontId="5" fillId="5" borderId="6" xfId="0" applyFont="1" applyFill="1" applyBorder="1"/>
    <xf numFmtId="4" fontId="6" fillId="4" borderId="24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167" fontId="5" fillId="0" borderId="15" xfId="3" applyNumberFormat="1" applyFont="1" applyFill="1" applyBorder="1" applyAlignment="1">
      <alignment horizontal="center" vertical="center"/>
    </xf>
    <xf numFmtId="167" fontId="5" fillId="0" borderId="7" xfId="3" applyNumberFormat="1" applyFont="1" applyFill="1" applyBorder="1" applyAlignment="1">
      <alignment horizontal="center" vertical="center"/>
    </xf>
    <xf numFmtId="4" fontId="9" fillId="0" borderId="12" xfId="0" applyNumberFormat="1" applyFont="1" applyFill="1" applyBorder="1" applyAlignment="1">
      <alignment horizontal="right" vertical="center" indent="1"/>
    </xf>
    <xf numFmtId="166" fontId="6" fillId="4" borderId="11" xfId="0" applyNumberFormat="1" applyFont="1" applyFill="1" applyBorder="1" applyAlignment="1">
      <alignment horizontal="right" vertical="center" indent="1"/>
    </xf>
    <xf numFmtId="4" fontId="6" fillId="4" borderId="13" xfId="0" applyNumberFormat="1" applyFont="1" applyFill="1" applyBorder="1" applyAlignment="1">
      <alignment horizontal="right" vertical="center" indent="1"/>
    </xf>
    <xf numFmtId="4" fontId="6" fillId="0" borderId="24" xfId="0" applyNumberFormat="1" applyFont="1" applyFill="1" applyBorder="1" applyAlignment="1">
      <alignment horizontal="center" vertical="center"/>
    </xf>
    <xf numFmtId="4" fontId="6" fillId="0" borderId="23" xfId="0" applyNumberFormat="1" applyFont="1" applyFill="1" applyBorder="1" applyAlignment="1">
      <alignment horizontal="center" vertical="center"/>
    </xf>
    <xf numFmtId="4" fontId="6" fillId="4" borderId="2" xfId="0" applyNumberFormat="1" applyFont="1" applyFill="1" applyBorder="1" applyAlignment="1">
      <alignment horizontal="center" vertical="center"/>
    </xf>
    <xf numFmtId="4" fontId="6" fillId="4" borderId="25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165" fontId="17" fillId="0" borderId="4" xfId="2" applyNumberFormat="1" applyFont="1" applyFill="1" applyBorder="1" applyAlignment="1">
      <alignment horizontal="left" vertical="center"/>
    </xf>
    <xf numFmtId="165" fontId="17" fillId="0" borderId="19" xfId="2" applyNumberFormat="1" applyFont="1" applyFill="1" applyBorder="1" applyAlignment="1">
      <alignment horizontal="left" vertical="center"/>
    </xf>
    <xf numFmtId="165" fontId="17" fillId="0" borderId="20" xfId="2" applyNumberFormat="1" applyFont="1" applyFill="1" applyBorder="1" applyAlignment="1">
      <alignment horizontal="left" vertical="center"/>
    </xf>
    <xf numFmtId="0" fontId="18" fillId="5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 vertical="top" wrapText="1"/>
    </xf>
    <xf numFmtId="9" fontId="17" fillId="0" borderId="4" xfId="3" applyFont="1" applyFill="1" applyBorder="1" applyAlignment="1">
      <alignment horizontal="left" vertical="center"/>
    </xf>
    <xf numFmtId="9" fontId="17" fillId="0" borderId="19" xfId="3" applyFont="1" applyFill="1" applyBorder="1" applyAlignment="1">
      <alignment horizontal="left" vertical="center"/>
    </xf>
    <xf numFmtId="9" fontId="17" fillId="0" borderId="20" xfId="3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center" vertical="center" wrapText="1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3"/>
  <sheetViews>
    <sheetView tabSelected="1" workbookViewId="0">
      <selection activeCell="D17" sqref="D17"/>
    </sheetView>
  </sheetViews>
  <sheetFormatPr baseColWidth="10" defaultRowHeight="12.75" x14ac:dyDescent="0.2"/>
  <cols>
    <col min="1" max="1" width="32.85546875" customWidth="1"/>
    <col min="2" max="2" width="18.42578125" customWidth="1"/>
    <col min="3" max="3" width="29.5703125" customWidth="1"/>
    <col min="4" max="4" width="21.140625" customWidth="1"/>
    <col min="5" max="10" width="16.7109375" customWidth="1"/>
    <col min="11" max="11" width="16.140625" customWidth="1"/>
  </cols>
  <sheetData>
    <row r="1" spans="1:11" ht="48" customHeight="1" x14ac:dyDescent="0.2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</row>
    <row r="2" spans="1:11" ht="18" x14ac:dyDescent="0.25">
      <c r="A2" s="74" t="str">
        <f>valoración!A3</f>
        <v>PROPUESTA DE ADJUDICACIÓN DEL EXPEDIENTE S-07111-2022</v>
      </c>
      <c r="B2" s="74"/>
      <c r="C2" s="74"/>
      <c r="D2" s="74"/>
      <c r="E2" s="74"/>
      <c r="F2" s="74"/>
      <c r="G2" s="74"/>
      <c r="H2" s="74"/>
      <c r="I2" s="74"/>
      <c r="J2" s="74"/>
      <c r="K2" s="53"/>
    </row>
    <row r="3" spans="1:11" ht="18" x14ac:dyDescent="0.25">
      <c r="A3" s="74" t="str">
        <f>valoración!A4</f>
        <v>"Equipamiento para adecuación de UUMM de RTVE"</v>
      </c>
      <c r="B3" s="74"/>
      <c r="C3" s="74"/>
      <c r="D3" s="74"/>
      <c r="E3" s="74"/>
      <c r="F3" s="74"/>
      <c r="G3" s="74"/>
      <c r="H3" s="74"/>
      <c r="I3" s="74"/>
      <c r="J3" s="74"/>
      <c r="K3" s="53"/>
    </row>
    <row r="4" spans="1:11" ht="18" x14ac:dyDescent="0.25">
      <c r="A4" s="74" t="str">
        <f>valoración!A5</f>
        <v>RESUMEN PUNTUACIÓN TÉCNICA Y ECONÓMICA</v>
      </c>
      <c r="B4" s="74"/>
      <c r="C4" s="74"/>
      <c r="D4" s="74"/>
      <c r="E4" s="74"/>
      <c r="F4" s="74"/>
      <c r="G4" s="74"/>
      <c r="H4" s="74"/>
      <c r="I4" s="74"/>
      <c r="J4" s="74"/>
      <c r="K4" s="53"/>
    </row>
    <row r="5" spans="1:11" x14ac:dyDescent="0.2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3.5" thickBot="1" x14ac:dyDescent="0.25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</row>
    <row r="7" spans="1:11" ht="30.75" customHeight="1" thickBot="1" x14ac:dyDescent="0.25">
      <c r="A7" s="53"/>
      <c r="B7" s="53"/>
      <c r="C7" s="53"/>
      <c r="D7" s="53"/>
      <c r="E7" s="71" t="s">
        <v>14</v>
      </c>
      <c r="F7" s="72"/>
      <c r="G7" s="72"/>
      <c r="H7" s="72"/>
      <c r="I7" s="72"/>
      <c r="J7" s="73"/>
      <c r="K7" s="53"/>
    </row>
    <row r="8" spans="1:11" ht="30.75" thickBot="1" x14ac:dyDescent="0.25">
      <c r="A8" s="15" t="s">
        <v>4</v>
      </c>
      <c r="B8" s="16" t="s">
        <v>5</v>
      </c>
      <c r="C8" s="17" t="s">
        <v>25</v>
      </c>
      <c r="D8" s="18" t="s">
        <v>0</v>
      </c>
      <c r="E8" s="16" t="s">
        <v>26</v>
      </c>
      <c r="F8" s="17" t="s">
        <v>1</v>
      </c>
      <c r="G8" s="17" t="s">
        <v>7</v>
      </c>
      <c r="H8" s="17" t="s">
        <v>9</v>
      </c>
      <c r="I8" s="17" t="s">
        <v>10</v>
      </c>
      <c r="J8" s="18" t="s">
        <v>11</v>
      </c>
      <c r="K8" s="17" t="s">
        <v>18</v>
      </c>
    </row>
    <row r="9" spans="1:11" ht="35.1" customHeight="1" thickBot="1" x14ac:dyDescent="0.25">
      <c r="A9" s="68" t="s">
        <v>20</v>
      </c>
      <c r="B9" s="51" t="s">
        <v>27</v>
      </c>
      <c r="C9" s="19">
        <v>46800</v>
      </c>
      <c r="D9" s="20">
        <v>20</v>
      </c>
      <c r="E9" s="21">
        <v>40091.22</v>
      </c>
      <c r="F9" s="22">
        <f>valoración!$U$2*(2-E9/MIN(E$9:E$10))</f>
        <v>77.186620334724012</v>
      </c>
      <c r="G9" s="22">
        <f>D9+F9</f>
        <v>97.186620334724012</v>
      </c>
      <c r="H9" s="40"/>
      <c r="I9" s="32"/>
      <c r="J9" s="33">
        <f t="shared" ref="J9:J17" si="0">+G9*I9</f>
        <v>0</v>
      </c>
      <c r="K9" s="65">
        <f t="shared" ref="K9:K17" si="1">100-($E9*100/$C9)</f>
        <v>14.334999999999994</v>
      </c>
    </row>
    <row r="10" spans="1:11" ht="45.75" thickBot="1" x14ac:dyDescent="0.25">
      <c r="A10" s="69"/>
      <c r="B10" s="52" t="s">
        <v>28</v>
      </c>
      <c r="C10" s="19">
        <v>46800</v>
      </c>
      <c r="D10" s="28">
        <v>20</v>
      </c>
      <c r="E10" s="23">
        <v>38729.22</v>
      </c>
      <c r="F10" s="50">
        <f>valoración!$U$2*(2-E10/MIN(E$9:E$10))</f>
        <v>80</v>
      </c>
      <c r="G10" s="24">
        <f>D10+F10</f>
        <v>100</v>
      </c>
      <c r="H10" s="41">
        <v>1</v>
      </c>
      <c r="I10" s="34">
        <f>+$C10/$C$18*H10</f>
        <v>0.29846938775510207</v>
      </c>
      <c r="J10" s="35">
        <f>+G10*I10</f>
        <v>29.846938775510207</v>
      </c>
      <c r="K10" s="66">
        <f t="shared" si="1"/>
        <v>17.245256410256417</v>
      </c>
    </row>
    <row r="11" spans="1:11" ht="35.1" customHeight="1" thickBot="1" x14ac:dyDescent="0.25">
      <c r="A11" s="68" t="s">
        <v>21</v>
      </c>
      <c r="B11" s="51" t="s">
        <v>29</v>
      </c>
      <c r="C11" s="19">
        <v>30000</v>
      </c>
      <c r="D11" s="20">
        <v>18</v>
      </c>
      <c r="E11" s="21">
        <v>28421.01</v>
      </c>
      <c r="F11" s="22">
        <f>valoración!$V$2*(2-E11/MIN(E$11:E$12))</f>
        <v>60.241729248994275</v>
      </c>
      <c r="G11" s="22">
        <f t="shared" ref="G11:G17" si="2">D11+F11</f>
        <v>78.241729248994275</v>
      </c>
      <c r="H11" s="40"/>
      <c r="I11" s="32"/>
      <c r="J11" s="33">
        <f t="shared" si="0"/>
        <v>0</v>
      </c>
      <c r="K11" s="54">
        <f t="shared" si="1"/>
        <v>5.263300000000001</v>
      </c>
    </row>
    <row r="12" spans="1:11" ht="48.75" customHeight="1" thickBot="1" x14ac:dyDescent="0.25">
      <c r="A12" s="69"/>
      <c r="B12" s="52" t="s">
        <v>28</v>
      </c>
      <c r="C12" s="19">
        <v>30000</v>
      </c>
      <c r="D12" s="28">
        <v>16</v>
      </c>
      <c r="E12" s="23">
        <v>22461.08</v>
      </c>
      <c r="F12" s="50">
        <f>valoración!$V$2*(2-E12/MIN(E$11:E$12))</f>
        <v>82</v>
      </c>
      <c r="G12" s="24">
        <f t="shared" si="2"/>
        <v>98</v>
      </c>
      <c r="H12" s="41">
        <v>1</v>
      </c>
      <c r="I12" s="34">
        <f>+$C12/$C$18*H12</f>
        <v>0.19132653061224489</v>
      </c>
      <c r="J12" s="35">
        <f t="shared" si="0"/>
        <v>18.75</v>
      </c>
      <c r="K12" s="56">
        <f t="shared" si="1"/>
        <v>25.129733333333334</v>
      </c>
    </row>
    <row r="13" spans="1:11" ht="45.75" thickBot="1" x14ac:dyDescent="0.25">
      <c r="A13" s="57" t="s">
        <v>22</v>
      </c>
      <c r="B13" s="51" t="s">
        <v>30</v>
      </c>
      <c r="C13" s="19">
        <v>22000</v>
      </c>
      <c r="D13" s="20">
        <v>18</v>
      </c>
      <c r="E13" s="62">
        <v>21536.18</v>
      </c>
      <c r="F13" s="50">
        <f>valoración!$V$2*(2-E13/MIN(E$13))</f>
        <v>82</v>
      </c>
      <c r="G13" s="50">
        <f>D13+F13</f>
        <v>100</v>
      </c>
      <c r="H13" s="40">
        <v>1</v>
      </c>
      <c r="I13" s="34">
        <f>+$C13/$C$18*H13</f>
        <v>0.14030612244897958</v>
      </c>
      <c r="J13" s="33">
        <f>+G13*I13</f>
        <v>14.030612244897958</v>
      </c>
      <c r="K13" s="56">
        <f t="shared" si="1"/>
        <v>2.108272727272734</v>
      </c>
    </row>
    <row r="14" spans="1:11" ht="35.1" customHeight="1" thickBot="1" x14ac:dyDescent="0.25">
      <c r="A14" s="68" t="s">
        <v>23</v>
      </c>
      <c r="B14" s="51" t="s">
        <v>31</v>
      </c>
      <c r="C14" s="19">
        <v>28000</v>
      </c>
      <c r="D14" s="20">
        <v>18</v>
      </c>
      <c r="E14" s="21">
        <v>22496</v>
      </c>
      <c r="F14" s="22">
        <f>valoración!$V$2*(2-E14/MIN(E$14:E$16))</f>
        <v>81.542628430635432</v>
      </c>
      <c r="G14" s="22">
        <f t="shared" ref="G14:G16" si="3">D14+F14</f>
        <v>99.542628430635432</v>
      </c>
      <c r="H14" s="40"/>
      <c r="I14" s="32"/>
      <c r="J14" s="33">
        <f t="shared" si="0"/>
        <v>0</v>
      </c>
      <c r="K14" s="64">
        <f t="shared" si="1"/>
        <v>19.657142857142858</v>
      </c>
    </row>
    <row r="15" spans="1:11" ht="35.1" customHeight="1" thickBot="1" x14ac:dyDescent="0.25">
      <c r="A15" s="69"/>
      <c r="B15" s="52" t="s">
        <v>32</v>
      </c>
      <c r="C15" s="19">
        <v>28000</v>
      </c>
      <c r="D15" s="28">
        <v>18</v>
      </c>
      <c r="E15" s="23">
        <v>22371.22</v>
      </c>
      <c r="F15" s="50">
        <f>valoración!$V$2*(2-E15/MIN(E$14:E$16))</f>
        <v>82</v>
      </c>
      <c r="G15" s="24">
        <f t="shared" si="3"/>
        <v>100</v>
      </c>
      <c r="H15" s="41">
        <v>1</v>
      </c>
      <c r="I15" s="34">
        <f>+$C15/$C$18*H15</f>
        <v>0.17857142857142858</v>
      </c>
      <c r="J15" s="35">
        <f t="shared" si="0"/>
        <v>17.857142857142858</v>
      </c>
      <c r="K15" s="56">
        <f t="shared" si="1"/>
        <v>20.102785714285716</v>
      </c>
    </row>
    <row r="16" spans="1:11" ht="54" customHeight="1" thickBot="1" x14ac:dyDescent="0.25">
      <c r="A16" s="70"/>
      <c r="B16" s="52" t="s">
        <v>28</v>
      </c>
      <c r="C16" s="19">
        <v>28000</v>
      </c>
      <c r="D16" s="25">
        <v>18</v>
      </c>
      <c r="E16" s="26">
        <v>23037.759999999998</v>
      </c>
      <c r="F16" s="22">
        <f>valoración!$V$2*(2-E16/MIN(E$14:E$16))</f>
        <v>79.556848486582325</v>
      </c>
      <c r="G16" s="27">
        <f t="shared" si="3"/>
        <v>97.556848486582325</v>
      </c>
      <c r="H16" s="47"/>
      <c r="I16" s="36"/>
      <c r="J16" s="37">
        <f t="shared" si="0"/>
        <v>0</v>
      </c>
      <c r="K16" s="64">
        <f t="shared" si="1"/>
        <v>17.722285714285718</v>
      </c>
    </row>
    <row r="17" spans="1:11" ht="60.75" thickBot="1" x14ac:dyDescent="0.25">
      <c r="A17" s="58" t="s">
        <v>24</v>
      </c>
      <c r="B17" s="51" t="s">
        <v>33</v>
      </c>
      <c r="C17" s="19">
        <v>30000</v>
      </c>
      <c r="D17" s="20">
        <v>18.5</v>
      </c>
      <c r="E17" s="62">
        <v>23700</v>
      </c>
      <c r="F17" s="50">
        <f>valoración!U2*(2-E17/MIN(E$17:E$17))</f>
        <v>80</v>
      </c>
      <c r="G17" s="63">
        <f t="shared" si="2"/>
        <v>98.5</v>
      </c>
      <c r="H17" s="40">
        <v>1</v>
      </c>
      <c r="I17" s="32">
        <f>+$C17/$C$18*H17</f>
        <v>0.19132653061224489</v>
      </c>
      <c r="J17" s="33">
        <f t="shared" si="0"/>
        <v>18.845663265306122</v>
      </c>
      <c r="K17" s="67">
        <f t="shared" si="1"/>
        <v>21</v>
      </c>
    </row>
    <row r="18" spans="1:11" ht="45.75" thickBot="1" x14ac:dyDescent="0.25">
      <c r="A18" s="9"/>
      <c r="B18" s="38" t="s">
        <v>12</v>
      </c>
      <c r="C18" s="39">
        <f>C9+C11+C17+C14+C13</f>
        <v>156800</v>
      </c>
      <c r="D18" s="10"/>
      <c r="E18" s="10"/>
      <c r="F18" s="10"/>
      <c r="G18" s="10"/>
      <c r="H18" s="10"/>
      <c r="I18" s="48" t="s">
        <v>13</v>
      </c>
      <c r="J18" s="49">
        <f>SUM(J9:J17)</f>
        <v>99.330357142857139</v>
      </c>
      <c r="K18" s="53"/>
    </row>
    <row r="19" spans="1:11" x14ac:dyDescent="0.2">
      <c r="A19" s="53"/>
      <c r="B19" s="53"/>
      <c r="C19" s="53"/>
      <c r="D19" s="53"/>
      <c r="E19" s="53"/>
      <c r="F19" s="53"/>
      <c r="G19" s="53"/>
      <c r="H19" s="53"/>
      <c r="I19" s="53"/>
      <c r="J19" s="53"/>
      <c r="K19" s="53"/>
    </row>
    <row r="20" spans="1:11" x14ac:dyDescent="0.2">
      <c r="A20" s="53"/>
      <c r="B20" s="53"/>
      <c r="C20" s="53"/>
      <c r="D20" s="53"/>
      <c r="E20" s="53"/>
      <c r="F20" s="53"/>
      <c r="G20" s="53"/>
      <c r="H20" s="53"/>
      <c r="I20" s="53"/>
      <c r="J20" s="53"/>
      <c r="K20" s="53"/>
    </row>
    <row r="21" spans="1:11" ht="14.25" x14ac:dyDescent="0.2">
      <c r="A21" s="55" t="s">
        <v>2</v>
      </c>
      <c r="B21" s="53"/>
      <c r="C21" s="53"/>
      <c r="D21" s="53"/>
      <c r="E21" s="53"/>
      <c r="F21" s="53"/>
      <c r="G21" s="53"/>
      <c r="H21" s="53"/>
      <c r="I21" s="53"/>
      <c r="J21" s="53"/>
      <c r="K21" s="53"/>
    </row>
    <row r="22" spans="1:11" ht="14.25" x14ac:dyDescent="0.2">
      <c r="A22" s="55" t="s">
        <v>36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</row>
    <row r="23" spans="1:11" x14ac:dyDescent="0.2">
      <c r="A23" s="53"/>
      <c r="B23" s="53"/>
      <c r="C23" s="53"/>
      <c r="D23" s="53"/>
      <c r="E23" s="53"/>
      <c r="F23" s="53"/>
      <c r="G23" s="53"/>
      <c r="H23" s="53"/>
      <c r="I23" s="53"/>
      <c r="J23" s="53"/>
      <c r="K23" s="53"/>
    </row>
  </sheetData>
  <mergeCells count="7">
    <mergeCell ref="A11:A12"/>
    <mergeCell ref="A14:A16"/>
    <mergeCell ref="E7:J7"/>
    <mergeCell ref="A2:J2"/>
    <mergeCell ref="A3:J3"/>
    <mergeCell ref="A4:J4"/>
    <mergeCell ref="A9:A10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24"/>
  <sheetViews>
    <sheetView showGridLines="0" showZeros="0" zoomScale="70" zoomScaleNormal="70" workbookViewId="0">
      <selection activeCell="E13" sqref="E13"/>
    </sheetView>
  </sheetViews>
  <sheetFormatPr baseColWidth="10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17" width="16.7109375" style="10" customWidth="1"/>
    <col min="18" max="16384" width="11.42578125" style="10"/>
  </cols>
  <sheetData>
    <row r="1" spans="1:23" x14ac:dyDescent="0.2">
      <c r="T1" s="12" t="s">
        <v>6</v>
      </c>
    </row>
    <row r="2" spans="1:23" s="3" customFormat="1" ht="48" customHeight="1" x14ac:dyDescent="0.15">
      <c r="A2" s="2"/>
      <c r="D2" s="4"/>
      <c r="E2" s="4"/>
      <c r="F2" s="4"/>
      <c r="G2" s="4"/>
      <c r="H2" s="5"/>
      <c r="M2" s="11"/>
      <c r="T2" s="13" t="s">
        <v>17</v>
      </c>
      <c r="U2" s="14">
        <v>80</v>
      </c>
      <c r="V2" s="14">
        <v>82</v>
      </c>
      <c r="W2" s="14"/>
    </row>
    <row r="3" spans="1:23" s="3" customFormat="1" ht="22.5" customHeight="1" x14ac:dyDescent="0.15">
      <c r="A3" s="79" t="s">
        <v>19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79"/>
      <c r="P3" s="79"/>
      <c r="Q3" s="79"/>
      <c r="T3" s="31" t="s">
        <v>8</v>
      </c>
    </row>
    <row r="4" spans="1:23" s="3" customFormat="1" ht="22.5" customHeight="1" x14ac:dyDescent="0.15">
      <c r="A4" s="79" t="s">
        <v>35</v>
      </c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</row>
    <row r="5" spans="1:23" s="3" customFormat="1" ht="24.6" customHeight="1" x14ac:dyDescent="0.15">
      <c r="A5" s="79" t="s">
        <v>3</v>
      </c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</row>
    <row r="6" spans="1:23" s="3" customFormat="1" ht="24.6" customHeight="1" thickBot="1" x14ac:dyDescent="0.2">
      <c r="A6" s="30"/>
      <c r="B6" s="30"/>
      <c r="C6" s="30"/>
      <c r="D6" s="30"/>
      <c r="E6" s="30"/>
      <c r="F6" s="30"/>
      <c r="G6" s="30"/>
      <c r="H6" s="4"/>
    </row>
    <row r="7" spans="1:23" s="3" customFormat="1" ht="24.75" customHeight="1" thickBot="1" x14ac:dyDescent="0.3">
      <c r="A7" s="2"/>
      <c r="B7" s="6"/>
      <c r="C7" s="7"/>
      <c r="D7" s="7"/>
      <c r="E7" s="71" t="s">
        <v>14</v>
      </c>
      <c r="F7" s="72"/>
      <c r="G7" s="72"/>
      <c r="H7" s="72"/>
      <c r="I7" s="72"/>
      <c r="J7" s="73"/>
      <c r="K7" s="76" t="s">
        <v>34</v>
      </c>
      <c r="L7" s="77"/>
      <c r="M7" s="77"/>
      <c r="N7" s="77"/>
      <c r="O7" s="77"/>
      <c r="P7" s="77"/>
      <c r="Q7" s="78"/>
    </row>
    <row r="8" spans="1:23" s="8" customFormat="1" ht="30.75" thickBot="1" x14ac:dyDescent="0.25">
      <c r="A8" s="15" t="s">
        <v>4</v>
      </c>
      <c r="B8" s="16" t="s">
        <v>5</v>
      </c>
      <c r="C8" s="17" t="s">
        <v>25</v>
      </c>
      <c r="D8" s="18" t="s">
        <v>0</v>
      </c>
      <c r="E8" s="16" t="s">
        <v>26</v>
      </c>
      <c r="F8" s="17" t="s">
        <v>1</v>
      </c>
      <c r="G8" s="17" t="s">
        <v>7</v>
      </c>
      <c r="H8" s="17" t="s">
        <v>9</v>
      </c>
      <c r="I8" s="17" t="s">
        <v>10</v>
      </c>
      <c r="J8" s="18" t="s">
        <v>11</v>
      </c>
      <c r="K8" s="16" t="s">
        <v>15</v>
      </c>
      <c r="L8" s="16" t="s">
        <v>26</v>
      </c>
      <c r="M8" s="17" t="s">
        <v>1</v>
      </c>
      <c r="N8" s="17" t="s">
        <v>16</v>
      </c>
      <c r="O8" s="17" t="s">
        <v>9</v>
      </c>
      <c r="P8" s="17" t="s">
        <v>10</v>
      </c>
      <c r="Q8" s="18" t="s">
        <v>11</v>
      </c>
    </row>
    <row r="9" spans="1:23" s="3" customFormat="1" ht="35.1" customHeight="1" thickBot="1" x14ac:dyDescent="0.2">
      <c r="A9" s="68" t="s">
        <v>20</v>
      </c>
      <c r="B9" s="51" t="s">
        <v>27</v>
      </c>
      <c r="C9" s="19">
        <v>46800</v>
      </c>
      <c r="D9" s="20">
        <v>20</v>
      </c>
      <c r="E9" s="21">
        <v>40091.22</v>
      </c>
      <c r="F9" s="22">
        <f>$U$2*(2-E9/MIN(E$9:E$10))</f>
        <v>77.186620334724012</v>
      </c>
      <c r="G9" s="22">
        <f>D9+F9</f>
        <v>97.186620334724012</v>
      </c>
      <c r="H9" s="40"/>
      <c r="I9" s="32">
        <f t="shared" ref="I9:I17" si="0">+$C9/$C$18*H9</f>
        <v>0</v>
      </c>
      <c r="J9" s="33">
        <f t="shared" ref="J9:J17" si="1">+G9*I9</f>
        <v>0</v>
      </c>
      <c r="K9" s="42"/>
      <c r="L9" s="43">
        <f>+$E9*(1-K9)</f>
        <v>40091.22</v>
      </c>
      <c r="M9" s="22">
        <f>$U$2*(2-L9/MIN(L$9:L$10))</f>
        <v>77.020661658040098</v>
      </c>
      <c r="N9" s="61">
        <f>$D9+M9</f>
        <v>97.020661658040098</v>
      </c>
      <c r="O9" s="41"/>
      <c r="P9" s="32">
        <f t="shared" ref="P9:P17" si="2">+$C9/$C$18*O9</f>
        <v>0</v>
      </c>
      <c r="Q9" s="33">
        <f>+N9*P9</f>
        <v>0</v>
      </c>
    </row>
    <row r="10" spans="1:23" s="3" customFormat="1" ht="48.75" customHeight="1" thickBot="1" x14ac:dyDescent="0.2">
      <c r="A10" s="69"/>
      <c r="B10" s="52" t="s">
        <v>28</v>
      </c>
      <c r="C10" s="19">
        <v>46800</v>
      </c>
      <c r="D10" s="28">
        <v>20</v>
      </c>
      <c r="E10" s="23">
        <v>38729.22</v>
      </c>
      <c r="F10" s="24">
        <f>$U$2*(2-E10/MIN(E$9:E$10))</f>
        <v>80</v>
      </c>
      <c r="G10" s="24">
        <f>D10+F10</f>
        <v>100</v>
      </c>
      <c r="H10" s="41">
        <v>1</v>
      </c>
      <c r="I10" s="34">
        <f t="shared" si="0"/>
        <v>0.29846938775510207</v>
      </c>
      <c r="J10" s="35">
        <f t="shared" si="1"/>
        <v>29.846938775510207</v>
      </c>
      <c r="K10" s="60">
        <v>2E-3</v>
      </c>
      <c r="L10" s="45">
        <f>+$E10*(1-K10)</f>
        <v>38651.761559999999</v>
      </c>
      <c r="M10" s="29">
        <f>$U$2*(2-L10/MIN(L$9:L$10))</f>
        <v>80</v>
      </c>
      <c r="N10" s="29">
        <f>$D10+M10</f>
        <v>100</v>
      </c>
      <c r="O10" s="41">
        <v>1</v>
      </c>
      <c r="P10" s="34">
        <f t="shared" si="2"/>
        <v>0.29846938775510207</v>
      </c>
      <c r="Q10" s="35">
        <f t="shared" ref="Q10:Q17" si="3">+N10*P10</f>
        <v>29.846938775510207</v>
      </c>
    </row>
    <row r="11" spans="1:23" s="3" customFormat="1" ht="35.1" customHeight="1" thickBot="1" x14ac:dyDescent="0.2">
      <c r="A11" s="68" t="s">
        <v>21</v>
      </c>
      <c r="B11" s="51" t="s">
        <v>29</v>
      </c>
      <c r="C11" s="19">
        <v>30000</v>
      </c>
      <c r="D11" s="20">
        <v>18</v>
      </c>
      <c r="E11" s="21">
        <v>28421.01</v>
      </c>
      <c r="F11" s="22">
        <f>$V$2*(2-E11/MIN(E$11:E$12))</f>
        <v>60.241729248994275</v>
      </c>
      <c r="G11" s="22">
        <f t="shared" ref="G11:G17" si="4">D11+F11</f>
        <v>78.241729248994275</v>
      </c>
      <c r="H11" s="40"/>
      <c r="I11" s="32">
        <f t="shared" si="0"/>
        <v>0</v>
      </c>
      <c r="J11" s="33">
        <f t="shared" si="1"/>
        <v>0</v>
      </c>
      <c r="K11" s="42"/>
      <c r="L11" s="43">
        <f t="shared" ref="L11:L17" si="5">+$E11*(1-K11)</f>
        <v>28421.01</v>
      </c>
      <c r="M11" s="22">
        <f>$V$2*(2-L11/MIN(L$11:L$12))</f>
        <v>60.033796842679635</v>
      </c>
      <c r="N11" s="22">
        <f t="shared" ref="N11:N17" si="6">$D11+M11</f>
        <v>78.033796842679635</v>
      </c>
      <c r="O11" s="41"/>
      <c r="P11" s="32">
        <f t="shared" si="2"/>
        <v>0</v>
      </c>
      <c r="Q11" s="33">
        <f t="shared" si="3"/>
        <v>0</v>
      </c>
    </row>
    <row r="12" spans="1:23" s="3" customFormat="1" ht="35.1" customHeight="1" thickBot="1" x14ac:dyDescent="0.2">
      <c r="A12" s="69"/>
      <c r="B12" s="52" t="s">
        <v>28</v>
      </c>
      <c r="C12" s="19">
        <v>30000</v>
      </c>
      <c r="D12" s="28">
        <v>16</v>
      </c>
      <c r="E12" s="23">
        <v>22461.08</v>
      </c>
      <c r="F12" s="24">
        <f>$V$2*(2-E12/MIN(E$11:E$12))</f>
        <v>82</v>
      </c>
      <c r="G12" s="24">
        <f t="shared" si="4"/>
        <v>98</v>
      </c>
      <c r="H12" s="41">
        <v>1</v>
      </c>
      <c r="I12" s="34">
        <f t="shared" si="0"/>
        <v>0.19132653061224489</v>
      </c>
      <c r="J12" s="35">
        <f t="shared" si="1"/>
        <v>18.75</v>
      </c>
      <c r="K12" s="60">
        <v>2E-3</v>
      </c>
      <c r="L12" s="45">
        <f t="shared" si="5"/>
        <v>22416.157840000003</v>
      </c>
      <c r="M12" s="29">
        <f>$V$2*(2-L12/MIN(L$11:L$12))</f>
        <v>82</v>
      </c>
      <c r="N12" s="29">
        <f t="shared" si="6"/>
        <v>98</v>
      </c>
      <c r="O12" s="41">
        <v>1</v>
      </c>
      <c r="P12" s="34">
        <f t="shared" si="2"/>
        <v>0.19132653061224489</v>
      </c>
      <c r="Q12" s="35">
        <f t="shared" si="3"/>
        <v>18.75</v>
      </c>
    </row>
    <row r="13" spans="1:23" s="3" customFormat="1" ht="55.5" customHeight="1" thickBot="1" x14ac:dyDescent="0.2">
      <c r="A13" s="57" t="s">
        <v>22</v>
      </c>
      <c r="B13" s="51" t="s">
        <v>30</v>
      </c>
      <c r="C13" s="19">
        <v>22000</v>
      </c>
      <c r="D13" s="20">
        <v>18</v>
      </c>
      <c r="E13" s="62">
        <v>21536.18</v>
      </c>
      <c r="F13" s="50">
        <f>$V$2*(2-E13/MIN(E$13))</f>
        <v>82</v>
      </c>
      <c r="G13" s="50">
        <f>D13+F13</f>
        <v>100</v>
      </c>
      <c r="H13" s="40">
        <v>1</v>
      </c>
      <c r="I13" s="32">
        <f t="shared" si="0"/>
        <v>0.14030612244897958</v>
      </c>
      <c r="J13" s="33">
        <f t="shared" ref="J13" si="7">+G13*I13</f>
        <v>14.030612244897958</v>
      </c>
      <c r="K13" s="42"/>
      <c r="L13" s="43">
        <f t="shared" ref="L13" si="8">+$E13*(1-K13)</f>
        <v>21536.18</v>
      </c>
      <c r="M13" s="22">
        <f>$V$2*(2-L13/MIN(L$13))</f>
        <v>82</v>
      </c>
      <c r="N13" s="22">
        <f t="shared" ref="N13" si="9">$D13+M13</f>
        <v>100</v>
      </c>
      <c r="O13" s="41">
        <v>1</v>
      </c>
      <c r="P13" s="32">
        <f t="shared" si="2"/>
        <v>0.14030612244897958</v>
      </c>
      <c r="Q13" s="33">
        <f t="shared" ref="Q13" si="10">+N13*P13</f>
        <v>14.030612244897958</v>
      </c>
    </row>
    <row r="14" spans="1:23" s="3" customFormat="1" ht="35.1" customHeight="1" thickBot="1" x14ac:dyDescent="0.2">
      <c r="A14" s="68" t="s">
        <v>23</v>
      </c>
      <c r="B14" s="51" t="s">
        <v>31</v>
      </c>
      <c r="C14" s="19">
        <v>28000</v>
      </c>
      <c r="D14" s="20">
        <v>18</v>
      </c>
      <c r="E14" s="21">
        <v>22496</v>
      </c>
      <c r="F14" s="22">
        <f>$V$2*(2-E14/MIN(E$14:E$16))</f>
        <v>81.542628430635432</v>
      </c>
      <c r="G14" s="22">
        <f t="shared" ref="G14:G16" si="11">D14+F14</f>
        <v>99.542628430635432</v>
      </c>
      <c r="H14" s="40"/>
      <c r="I14" s="32">
        <f t="shared" si="0"/>
        <v>0</v>
      </c>
      <c r="J14" s="33">
        <f t="shared" ref="J14:J16" si="12">+G14*I14</f>
        <v>0</v>
      </c>
      <c r="K14" s="42"/>
      <c r="L14" s="43">
        <f t="shared" ref="L14:L16" si="13">+$E14*(1-K14)</f>
        <v>22496</v>
      </c>
      <c r="M14" s="22">
        <f>$V$2*(2-L14/MIN(L$14:L$16))</f>
        <v>81.542628430635432</v>
      </c>
      <c r="N14" s="22">
        <f t="shared" ref="N14:N16" si="14">$D14+M14</f>
        <v>99.542628430635432</v>
      </c>
      <c r="O14" s="41"/>
      <c r="P14" s="32">
        <f t="shared" si="2"/>
        <v>0</v>
      </c>
      <c r="Q14" s="33">
        <f t="shared" ref="Q14:Q16" si="15">+N14*P14</f>
        <v>0</v>
      </c>
    </row>
    <row r="15" spans="1:23" s="3" customFormat="1" ht="35.1" customHeight="1" thickBot="1" x14ac:dyDescent="0.2">
      <c r="A15" s="69"/>
      <c r="B15" s="52" t="s">
        <v>32</v>
      </c>
      <c r="C15" s="19">
        <v>28000</v>
      </c>
      <c r="D15" s="28">
        <v>18</v>
      </c>
      <c r="E15" s="23">
        <v>22371.22</v>
      </c>
      <c r="F15" s="24">
        <f>$V$2*(2-E15/MIN(E$14:E$16))</f>
        <v>82</v>
      </c>
      <c r="G15" s="24">
        <f t="shared" si="11"/>
        <v>100</v>
      </c>
      <c r="H15" s="41">
        <v>1</v>
      </c>
      <c r="I15" s="34">
        <f t="shared" si="0"/>
        <v>0.17857142857142858</v>
      </c>
      <c r="J15" s="35">
        <f t="shared" si="12"/>
        <v>17.857142857142858</v>
      </c>
      <c r="K15" s="44"/>
      <c r="L15" s="45">
        <f t="shared" si="13"/>
        <v>22371.22</v>
      </c>
      <c r="M15" s="22">
        <f>$V$2*(2-L15/MIN(L$14:L$16))</f>
        <v>82</v>
      </c>
      <c r="N15" s="29">
        <f t="shared" si="14"/>
        <v>100</v>
      </c>
      <c r="O15" s="41"/>
      <c r="P15" s="34">
        <f t="shared" si="2"/>
        <v>0</v>
      </c>
      <c r="Q15" s="35">
        <f t="shared" si="15"/>
        <v>0</v>
      </c>
    </row>
    <row r="16" spans="1:23" s="3" customFormat="1" ht="35.1" customHeight="1" thickBot="1" x14ac:dyDescent="0.2">
      <c r="A16" s="70"/>
      <c r="B16" s="52" t="s">
        <v>28</v>
      </c>
      <c r="C16" s="19">
        <v>28000</v>
      </c>
      <c r="D16" s="25">
        <v>18</v>
      </c>
      <c r="E16" s="26">
        <v>23037.759999999998</v>
      </c>
      <c r="F16" s="27">
        <f>$V$2*(2-E16/MIN(E$14:E$16))</f>
        <v>79.556848486582325</v>
      </c>
      <c r="G16" s="27">
        <f t="shared" si="11"/>
        <v>97.556848486582325</v>
      </c>
      <c r="H16" s="47"/>
      <c r="I16" s="36">
        <f t="shared" si="0"/>
        <v>0</v>
      </c>
      <c r="J16" s="37">
        <f t="shared" si="12"/>
        <v>0</v>
      </c>
      <c r="K16" s="59">
        <v>3.0000000000000001E-3</v>
      </c>
      <c r="L16" s="46">
        <f t="shared" si="13"/>
        <v>22968.646719999997</v>
      </c>
      <c r="M16" s="22">
        <f>$V$2*(2-L16/MIN(L$14:L$16))</f>
        <v>79.810177941122575</v>
      </c>
      <c r="N16" s="27">
        <f t="shared" si="14"/>
        <v>97.810177941122575</v>
      </c>
      <c r="O16" s="41">
        <v>1</v>
      </c>
      <c r="P16" s="36">
        <f t="shared" si="2"/>
        <v>0.17857142857142858</v>
      </c>
      <c r="Q16" s="37">
        <f t="shared" si="15"/>
        <v>17.46610320377189</v>
      </c>
    </row>
    <row r="17" spans="1:17" s="3" customFormat="1" ht="69" customHeight="1" thickBot="1" x14ac:dyDescent="0.2">
      <c r="A17" s="58" t="s">
        <v>24</v>
      </c>
      <c r="B17" s="51" t="s">
        <v>33</v>
      </c>
      <c r="C17" s="19">
        <v>30000</v>
      </c>
      <c r="D17" s="20">
        <v>18.5</v>
      </c>
      <c r="E17" s="62">
        <v>23700</v>
      </c>
      <c r="F17" s="50">
        <f>$U$2*(2-E17/MIN(E$17:E$17))</f>
        <v>80</v>
      </c>
      <c r="G17" s="63">
        <f t="shared" si="4"/>
        <v>98.5</v>
      </c>
      <c r="H17" s="40">
        <v>1</v>
      </c>
      <c r="I17" s="32">
        <f t="shared" si="0"/>
        <v>0.19132653061224489</v>
      </c>
      <c r="J17" s="33">
        <f t="shared" si="1"/>
        <v>18.845663265306122</v>
      </c>
      <c r="K17" s="42"/>
      <c r="L17" s="43">
        <f t="shared" si="5"/>
        <v>23700</v>
      </c>
      <c r="M17" s="22">
        <f>$U$2*(2-L17/MIN(L$17:L$17))</f>
        <v>80</v>
      </c>
      <c r="N17" s="22">
        <f t="shared" si="6"/>
        <v>98.5</v>
      </c>
      <c r="O17" s="41">
        <v>1</v>
      </c>
      <c r="P17" s="32">
        <f t="shared" si="2"/>
        <v>0.19132653061224489</v>
      </c>
      <c r="Q17" s="33">
        <f t="shared" si="3"/>
        <v>18.845663265306122</v>
      </c>
    </row>
    <row r="18" spans="1:17" ht="42.75" customHeight="1" thickBot="1" x14ac:dyDescent="0.25">
      <c r="B18" s="38" t="s">
        <v>12</v>
      </c>
      <c r="C18" s="39">
        <f>C9+C11+C17+C14+C13</f>
        <v>156800</v>
      </c>
      <c r="I18" s="48" t="s">
        <v>13</v>
      </c>
      <c r="J18" s="49">
        <f>SUM(J9:J17)</f>
        <v>99.330357142857139</v>
      </c>
      <c r="P18" s="48" t="s">
        <v>13</v>
      </c>
      <c r="Q18" s="49">
        <f>SUM(Q9:Q17)</f>
        <v>98.939317489486172</v>
      </c>
    </row>
    <row r="21" spans="1:17" ht="14.25" x14ac:dyDescent="0.2">
      <c r="A21" s="1" t="s">
        <v>2</v>
      </c>
    </row>
    <row r="22" spans="1:17" ht="14.25" x14ac:dyDescent="0.2">
      <c r="A22" s="1" t="s">
        <v>36</v>
      </c>
    </row>
    <row r="24" spans="1:17" ht="56.25" customHeight="1" x14ac:dyDescent="0.2">
      <c r="A24" s="75"/>
      <c r="B24" s="75"/>
      <c r="C24" s="75"/>
      <c r="D24" s="75"/>
      <c r="E24" s="75"/>
      <c r="F24" s="75"/>
      <c r="G24" s="75"/>
    </row>
  </sheetData>
  <mergeCells count="9">
    <mergeCell ref="A24:G24"/>
    <mergeCell ref="E7:J7"/>
    <mergeCell ref="K7:Q7"/>
    <mergeCell ref="A3:Q3"/>
    <mergeCell ref="A4:Q4"/>
    <mergeCell ref="A5:Q5"/>
    <mergeCell ref="A9:A10"/>
    <mergeCell ref="A11:A12"/>
    <mergeCell ref="A14:A16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Nuria Santome Rodriguez</cp:lastModifiedBy>
  <cp:lastPrinted>2021-11-19T11:28:43Z</cp:lastPrinted>
  <dcterms:created xsi:type="dcterms:W3CDTF">2007-03-30T09:59:06Z</dcterms:created>
  <dcterms:modified xsi:type="dcterms:W3CDTF">2022-11-24T10:35:24Z</dcterms:modified>
</cp:coreProperties>
</file>