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6642-2022 TRANSMISORES OM SEVILLA Y LA RIOJA\"/>
    </mc:Choice>
  </mc:AlternateContent>
  <xr:revisionPtr revIDLastSave="0" documentId="8_{DE272741-27FA-44B2-81AA-B0E8B9A9D344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ADJUDICADA'!$A$1:$J$19</definedName>
    <definedName name="_xlnm.Print_Area" localSheetId="1">valoración!$A$2:$X$19</definedName>
  </definedNames>
  <calcPr calcId="191029"/>
</workbook>
</file>

<file path=xl/calcChain.xml><?xml version="1.0" encoding="utf-8"?>
<calcChain xmlns="http://schemas.openxmlformats.org/spreadsheetml/2006/main">
  <c r="C15" i="6" l="1"/>
  <c r="C15" i="5" l="1"/>
  <c r="J14" i="6" l="1"/>
  <c r="J13" i="6"/>
  <c r="J12" i="6"/>
  <c r="J11" i="6"/>
  <c r="J10" i="6"/>
  <c r="J9" i="6"/>
  <c r="A4" i="6" l="1"/>
  <c r="A3" i="6"/>
  <c r="A2" i="6"/>
  <c r="P13" i="5" l="1"/>
  <c r="S14" i="5"/>
  <c r="L14" i="5"/>
  <c r="F14" i="5"/>
  <c r="G14" i="5" s="1"/>
  <c r="S13" i="5"/>
  <c r="L13" i="5"/>
  <c r="F13" i="5"/>
  <c r="G13" i="5" s="1"/>
  <c r="S12" i="5"/>
  <c r="L12" i="5"/>
  <c r="F12" i="5"/>
  <c r="G12" i="5" s="1"/>
  <c r="S11" i="5"/>
  <c r="L11" i="5"/>
  <c r="F11" i="5"/>
  <c r="G11" i="5" s="1"/>
  <c r="S10" i="5"/>
  <c r="L10" i="5"/>
  <c r="F10" i="5"/>
  <c r="G10" i="5" s="1"/>
  <c r="S9" i="5"/>
  <c r="L9" i="5"/>
  <c r="M9" i="5" s="1"/>
  <c r="N9" i="5" s="1"/>
  <c r="F9" i="5"/>
  <c r="G9" i="5" s="1"/>
  <c r="M12" i="5" l="1"/>
  <c r="N12" i="5" s="1"/>
  <c r="M13" i="5"/>
  <c r="N13" i="5" s="1"/>
  <c r="Q13" i="5" s="1"/>
  <c r="T12" i="5"/>
  <c r="U12" i="5" s="1"/>
  <c r="T9" i="5"/>
  <c r="U9" i="5" s="1"/>
  <c r="W10" i="5"/>
  <c r="W12" i="5"/>
  <c r="T13" i="5"/>
  <c r="U13" i="5" s="1"/>
  <c r="I9" i="5"/>
  <c r="J9" i="5" s="1"/>
  <c r="W9" i="5"/>
  <c r="P10" i="5"/>
  <c r="I11" i="5"/>
  <c r="J11" i="5" s="1"/>
  <c r="W11" i="5"/>
  <c r="P12" i="5"/>
  <c r="Q12" i="5" s="1"/>
  <c r="I13" i="5"/>
  <c r="J13" i="5" s="1"/>
  <c r="W13" i="5"/>
  <c r="P14" i="5"/>
  <c r="P9" i="5"/>
  <c r="P11" i="5"/>
  <c r="I14" i="5"/>
  <c r="J14" i="5" s="1"/>
  <c r="T10" i="5"/>
  <c r="U10" i="5" s="1"/>
  <c r="M11" i="5"/>
  <c r="N11" i="5" s="1"/>
  <c r="T14" i="5"/>
  <c r="U14" i="5" s="1"/>
  <c r="I10" i="5"/>
  <c r="J10" i="5" s="1"/>
  <c r="I12" i="5"/>
  <c r="J12" i="5" s="1"/>
  <c r="M10" i="5"/>
  <c r="N10" i="5" s="1"/>
  <c r="T11" i="5"/>
  <c r="U11" i="5" s="1"/>
  <c r="M14" i="5"/>
  <c r="N14" i="5" s="1"/>
  <c r="Q9" i="5"/>
  <c r="W14" i="5"/>
  <c r="Q10" i="5" l="1"/>
  <c r="X9" i="5"/>
  <c r="Q14" i="5"/>
  <c r="X12" i="5"/>
  <c r="X13" i="5"/>
  <c r="X11" i="5"/>
  <c r="X10" i="5"/>
  <c r="Q11" i="5"/>
  <c r="Q15" i="5" s="1"/>
  <c r="X14" i="5"/>
  <c r="J15" i="5"/>
  <c r="X15" i="5" l="1"/>
</calcChain>
</file>

<file path=xl/sharedStrings.xml><?xml version="1.0" encoding="utf-8"?>
<sst xmlns="http://schemas.openxmlformats.org/spreadsheetml/2006/main" count="69" uniqueCount="34">
  <si>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</si>
  <si>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</si>
  <si>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</si>
  <si>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</si>
  <si>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</si>
  <si>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</si>
  <si>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</si>
  <si>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</si>
  <si>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</si>
  <si>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</si>
  <si>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</si>
  <si>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</si>
  <si>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</si>
  <si>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</si>
  <si>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</si>
  <si>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</si>
  <si>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</si>
  <si>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</si>
  <si>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</si>
  <si>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S-06642-2021</t>
  </si>
  <si>
    <t>"Transmisores de OM para CC.EE. RNE en La Corchuela (Sevilla) y La Grajera (Rioja)"</t>
  </si>
  <si>
    <t>AICOX SOLUCIONES, S.A.</t>
  </si>
  <si>
    <t>ALTEL SISTEMAS, S.L.</t>
  </si>
  <si>
    <t>VIDEO MEDIOS, S.A.</t>
  </si>
  <si>
    <t>LOTE 1: Transmisor de Modulación en Amplitud de 50 kW y equipamiento asociado para el Centro Emisor de CRTVE en La Corchuela (Sevilla)</t>
  </si>
  <si>
    <t>LOTE 2: Transmisor de Modulación en Amplitud de 25 kW y equipamiento asociado para el Centro Emisor de CRTVE en La Grajera (La Rioja)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</si>
  <si>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</si>
  <si>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</si>
  <si>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r>
      <t>Importe Oferta</t>
    </r>
    <r>
      <rPr>
        <b/>
        <i/>
        <sz val="12"/>
        <rFont val="Tahoma"/>
        <family val="2"/>
      </rPr>
      <t/>
    </r>
  </si>
  <si>
    <t xml:space="preserve">Importe Oferta  </t>
  </si>
  <si>
    <t>Alternativa 2: oferta conjunta Aicox por los dos lotes (5% de descuento ambos lotes)</t>
  </si>
  <si>
    <t>Alternativa 3: oferta conjunta  Altel (4,6738% de descuento al lote 1)</t>
  </si>
  <si>
    <t>Alternativa 3: oferta conjunta Altel por los  dos lotes (4,6738% de descuento al lote 1)</t>
  </si>
  <si>
    <t>Madrid, a 15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</si>
</sst>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03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0" fillId="4" borderId="0" xfId="0" applyFill="1"/>
    <xf numFmtId="166" fontId="6" fillId="4" borderId="12" xfId="0" applyNumberFormat="1" applyFont="1" applyFill="1" applyBorder="1" applyAlignment="1">
      <alignment horizontal="center" vertical="center"/>
    </xf>
    <xf numFmtId="9" fontId="5" fillId="4" borderId="11" xfId="3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164" fontId="5" fillId="4" borderId="13" xfId="2" applyFont="1" applyFill="1" applyBorder="1" applyAlignment="1">
      <alignment horizontal="center" vertical="center"/>
    </xf>
    <xf numFmtId="9" fontId="5" fillId="4" borderId="7" xfId="3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4" fontId="5" fillId="4" borderId="14" xfId="2" applyFont="1" applyFill="1" applyBorder="1" applyAlignment="1">
      <alignment horizontal="center" vertical="center"/>
    </xf>
    <xf numFmtId="4" fontId="6" fillId="4" borderId="27" xfId="0" applyNumberFormat="1" applyFont="1" applyFill="1" applyBorder="1" applyAlignment="1">
      <alignment horizontal="center" vertical="center"/>
    </xf>
    <xf numFmtId="9" fontId="5" fillId="4" borderId="15" xfId="3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 indent="1"/>
    </xf>
    <xf numFmtId="4" fontId="6" fillId="4" borderId="16" xfId="0" applyNumberFormat="1" applyFont="1" applyFill="1" applyBorder="1" applyAlignment="1">
      <alignment horizontal="right" vertical="center" indent="1"/>
    </xf>
    <xf numFmtId="164" fontId="5" fillId="4" borderId="17" xfId="2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9" fillId="4" borderId="21" xfId="0" applyNumberFormat="1" applyFont="1" applyFill="1" applyBorder="1" applyAlignment="1">
      <alignment horizontal="right" vertical="center" wrapText="1"/>
    </xf>
    <xf numFmtId="166" fontId="17" fillId="4" borderId="21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5" fillId="4" borderId="6" xfId="0" applyFont="1" applyFill="1" applyBorder="1"/>
    <xf numFmtId="166" fontId="6" fillId="4" borderId="7" xfId="0" applyNumberFormat="1" applyFont="1" applyFill="1" applyBorder="1" applyAlignment="1">
      <alignment horizontal="right" vertical="center" indent="1"/>
    </xf>
    <xf numFmtId="166" fontId="6" fillId="4" borderId="15" xfId="0" applyNumberFormat="1" applyFont="1" applyFill="1" applyBorder="1" applyAlignment="1">
      <alignment horizontal="right" vertical="center" indent="1"/>
    </xf>
    <xf numFmtId="0" fontId="5" fillId="0" borderId="12" xfId="0" applyFont="1" applyFill="1" applyBorder="1" applyAlignment="1">
      <alignment horizontal="center" vertical="center"/>
    </xf>
    <xf numFmtId="4" fontId="6" fillId="4" borderId="26" xfId="0" applyNumberFormat="1" applyFont="1" applyFill="1" applyBorder="1" applyAlignment="1">
      <alignment horizontal="center" vertical="center"/>
    </xf>
    <xf numFmtId="10" fontId="0" fillId="0" borderId="0" xfId="3" applyNumberFormat="1" applyFont="1"/>
    <xf numFmtId="4" fontId="0" fillId="0" borderId="0" xfId="0" applyNumberFormat="1"/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9" fontId="18" fillId="4" borderId="4" xfId="3" applyFont="1" applyFill="1" applyBorder="1" applyAlignment="1">
      <alignment horizontal="left" vertical="center"/>
    </xf>
    <xf numFmtId="9" fontId="18" fillId="4" borderId="22" xfId="3" applyFont="1" applyFill="1" applyBorder="1" applyAlignment="1">
      <alignment horizontal="left" vertical="center"/>
    </xf>
    <xf numFmtId="9" fontId="18" fillId="4" borderId="23" xfId="3" applyFont="1" applyFill="1" applyBorder="1" applyAlignment="1">
      <alignment horizontal="left" vertical="center"/>
    </xf>
    <xf numFmtId="0" fontId="19" fillId="4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2" xfId="2" applyNumberFormat="1" applyFont="1" applyFill="1" applyBorder="1" applyAlignment="1">
      <alignment horizontal="center" vertical="center"/>
    </xf>
    <xf numFmtId="165" fontId="18" fillId="0" borderId="23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22" xfId="3" applyFont="1" applyFill="1" applyBorder="1" applyAlignment="1">
      <alignment horizontal="center" vertical="center"/>
    </xf>
    <xf numFmtId="9" fontId="18" fillId="0" borderId="23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topLeftCell="C10" workbookViewId="0">
      <selection activeCell="K13" sqref="K13:O14"/>
    </sheetView>
  </sheetViews>
  <sheetFormatPr baseColWidth="10" defaultRowHeight="12.5" x14ac:dyDescent="0.25"/>
  <cols>
    <col min="1" max="1" width="32.81640625" customWidth="1"/>
    <col min="2" max="2" width="18.453125" customWidth="1"/>
    <col min="3" max="3" width="29.54296875" customWidth="1"/>
    <col min="4" max="4" width="21.1796875" customWidth="1"/>
    <col min="5" max="9" width="16.7265625" customWidth="1"/>
    <col min="10" max="10" width="16.1796875" customWidth="1"/>
  </cols>
  <sheetData>
    <row r="1" spans="1:14" ht="48" customHeight="1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4" ht="17.5" x14ac:dyDescent="0.35">
      <c r="A2" s="91" t="str">
        <f>valoración!A3</f>
        <v>PROPUESTA DE ADJUDICACIÓN DEL EXPEDIENTE S-06642-2021</v>
      </c>
      <c r="B2" s="91"/>
      <c r="C2" s="91"/>
      <c r="D2" s="91"/>
      <c r="E2" s="91"/>
      <c r="F2" s="91"/>
      <c r="G2" s="91"/>
      <c r="H2" s="91"/>
      <c r="I2" s="91"/>
      <c r="J2" s="57"/>
    </row>
    <row r="3" spans="1:14" ht="17.5" x14ac:dyDescent="0.35">
      <c r="A3" s="91" t="str">
        <f>valoración!A4</f>
        <v>"Transmisores de OM para CC.EE. RNE en La Corchuela (Sevilla) y La Grajera (Rioja)"</v>
      </c>
      <c r="B3" s="91"/>
      <c r="C3" s="91"/>
      <c r="D3" s="91"/>
      <c r="E3" s="91"/>
      <c r="F3" s="91"/>
      <c r="G3" s="91"/>
      <c r="H3" s="91"/>
      <c r="I3" s="91"/>
      <c r="J3" s="57"/>
    </row>
    <row r="4" spans="1:14" ht="17.5" x14ac:dyDescent="0.35">
      <c r="A4" s="91" t="str">
        <f>valoración!A5</f>
        <v>RESUMEN PUNTUACIÓN TÉCNICA Y ECONÓMICA</v>
      </c>
      <c r="B4" s="91"/>
      <c r="C4" s="91"/>
      <c r="D4" s="91"/>
      <c r="E4" s="91"/>
      <c r="F4" s="91"/>
      <c r="G4" s="91"/>
      <c r="H4" s="91"/>
      <c r="I4" s="91"/>
      <c r="J4" s="57"/>
    </row>
    <row r="5" spans="1:14" x14ac:dyDescent="0.25">
      <c r="A5" s="57"/>
      <c r="B5" s="57"/>
      <c r="C5" s="57"/>
      <c r="D5" s="57"/>
      <c r="E5" s="57"/>
      <c r="F5" s="57"/>
      <c r="G5" s="57"/>
      <c r="H5" s="57"/>
      <c r="I5" s="57"/>
      <c r="J5" s="57"/>
    </row>
    <row r="6" spans="1:14" ht="13" thickBot="1" x14ac:dyDescent="0.3">
      <c r="A6" s="57"/>
      <c r="B6" s="57"/>
      <c r="C6" s="57"/>
      <c r="D6" s="57"/>
      <c r="E6" s="57"/>
      <c r="F6" s="57"/>
      <c r="G6" s="57"/>
      <c r="H6" s="57"/>
      <c r="I6" s="57"/>
      <c r="J6" s="57"/>
    </row>
    <row r="7" spans="1:14" ht="30.75" customHeight="1" thickBot="1" x14ac:dyDescent="0.3">
      <c r="A7" s="57"/>
      <c r="B7" s="57"/>
      <c r="C7" s="57"/>
      <c r="D7" s="57"/>
      <c r="E7" s="88" t="s">
        <v>31</v>
      </c>
      <c r="F7" s="89"/>
      <c r="G7" s="89"/>
      <c r="H7" s="89"/>
      <c r="I7" s="90"/>
      <c r="J7" s="57"/>
    </row>
    <row r="8" spans="1:14" ht="30.5" thickBot="1" x14ac:dyDescent="0.3">
      <c r="A8" s="15" t="s">
        <v>4</v>
      </c>
      <c r="B8" s="16" t="s">
        <v>5</v>
      </c>
      <c r="C8" s="17" t="s">
        <v>26</v>
      </c>
      <c r="D8" s="18" t="s">
        <v>0</v>
      </c>
      <c r="E8" s="16" t="s">
        <v>15</v>
      </c>
      <c r="F8" s="16" t="s">
        <v>29</v>
      </c>
      <c r="G8" s="17" t="s">
        <v>1</v>
      </c>
      <c r="H8" s="17" t="s">
        <v>16</v>
      </c>
      <c r="I8" s="18" t="s">
        <v>11</v>
      </c>
      <c r="J8" s="17" t="s">
        <v>18</v>
      </c>
    </row>
    <row r="9" spans="1:14" ht="45" customHeight="1" thickBot="1" x14ac:dyDescent="0.3">
      <c r="A9" s="83" t="s">
        <v>24</v>
      </c>
      <c r="B9" s="54" t="s">
        <v>21</v>
      </c>
      <c r="C9" s="58">
        <v>258500</v>
      </c>
      <c r="D9" s="20">
        <v>46</v>
      </c>
      <c r="E9" s="59"/>
      <c r="F9" s="60">
        <v>232330.59</v>
      </c>
      <c r="G9" s="61">
        <v>41.075294894155448</v>
      </c>
      <c r="H9" s="61">
        <v>87.075294894155448</v>
      </c>
      <c r="I9" s="62">
        <v>0</v>
      </c>
      <c r="J9" s="80">
        <f>100-($F9*100/$C9)</f>
        <v>10.123562862669246</v>
      </c>
      <c r="K9" s="81"/>
      <c r="L9" s="86"/>
      <c r="M9" s="87"/>
      <c r="N9" s="87"/>
    </row>
    <row r="10" spans="1:14" ht="35.15" customHeight="1" thickBot="1" x14ac:dyDescent="0.3">
      <c r="A10" s="84"/>
      <c r="B10" s="55" t="s">
        <v>22</v>
      </c>
      <c r="C10" s="58">
        <v>258500</v>
      </c>
      <c r="D10" s="24">
        <v>50</v>
      </c>
      <c r="E10" s="63">
        <v>4.6738000000000002E-2</v>
      </c>
      <c r="F10" s="64">
        <v>203550.03486000001</v>
      </c>
      <c r="G10" s="65">
        <v>48.37474575168995</v>
      </c>
      <c r="H10" s="65">
        <v>98.374745751689943</v>
      </c>
      <c r="I10" s="66">
        <v>53.312100161031125</v>
      </c>
      <c r="J10" s="67">
        <f t="shared" ref="J10:J14" si="0">100-($F10*100/$C10)</f>
        <v>21.25723989941973</v>
      </c>
      <c r="K10" s="81"/>
      <c r="L10" s="82"/>
      <c r="N10" s="82"/>
    </row>
    <row r="11" spans="1:14" ht="42" customHeight="1" thickBot="1" x14ac:dyDescent="0.3">
      <c r="A11" s="84"/>
      <c r="B11" s="56" t="s">
        <v>23</v>
      </c>
      <c r="C11" s="58">
        <v>258500</v>
      </c>
      <c r="D11" s="28">
        <v>45</v>
      </c>
      <c r="E11" s="63"/>
      <c r="F11" s="64">
        <v>197141.92</v>
      </c>
      <c r="G11" s="65">
        <v>50</v>
      </c>
      <c r="H11" s="65">
        <v>95</v>
      </c>
      <c r="I11" s="66">
        <v>0</v>
      </c>
      <c r="J11" s="67">
        <f t="shared" si="0"/>
        <v>23.736201160541583</v>
      </c>
      <c r="K11" s="81"/>
    </row>
    <row r="12" spans="1:14" ht="51.75" customHeight="1" thickBot="1" x14ac:dyDescent="0.3">
      <c r="A12" s="83" t="s">
        <v>25</v>
      </c>
      <c r="B12" s="54" t="s">
        <v>21</v>
      </c>
      <c r="C12" s="58">
        <v>218500</v>
      </c>
      <c r="D12" s="20">
        <v>46</v>
      </c>
      <c r="E12" s="59"/>
      <c r="F12" s="60">
        <v>133641.18</v>
      </c>
      <c r="G12" s="61">
        <v>46.214359882480785</v>
      </c>
      <c r="H12" s="61">
        <v>92.214359882480778</v>
      </c>
      <c r="I12" s="62">
        <v>0</v>
      </c>
      <c r="J12" s="67">
        <f t="shared" si="0"/>
        <v>38.836988558352402</v>
      </c>
      <c r="K12" s="81"/>
    </row>
    <row r="13" spans="1:14" ht="35.15" customHeight="1" thickBot="1" x14ac:dyDescent="0.3">
      <c r="A13" s="84"/>
      <c r="B13" s="55" t="s">
        <v>22</v>
      </c>
      <c r="C13" s="58">
        <v>218500</v>
      </c>
      <c r="D13" s="24">
        <v>50</v>
      </c>
      <c r="E13" s="63">
        <v>0</v>
      </c>
      <c r="F13" s="64">
        <v>124235</v>
      </c>
      <c r="G13" s="65">
        <v>50</v>
      </c>
      <c r="H13" s="65">
        <v>100</v>
      </c>
      <c r="I13" s="66">
        <v>45.80712788259958</v>
      </c>
      <c r="J13" s="67">
        <f t="shared" si="0"/>
        <v>43.141876430205947</v>
      </c>
      <c r="K13" s="81"/>
      <c r="L13" s="82"/>
      <c r="N13" s="82"/>
    </row>
    <row r="14" spans="1:14" ht="35.15" customHeight="1" thickBot="1" x14ac:dyDescent="0.3">
      <c r="A14" s="85"/>
      <c r="B14" s="56" t="s">
        <v>23</v>
      </c>
      <c r="C14" s="58">
        <v>218500</v>
      </c>
      <c r="D14" s="23">
        <v>45</v>
      </c>
      <c r="E14" s="68"/>
      <c r="F14" s="69">
        <v>151309.69</v>
      </c>
      <c r="G14" s="70">
        <v>39.103437034652067</v>
      </c>
      <c r="H14" s="70">
        <v>84.103437034652075</v>
      </c>
      <c r="I14" s="71">
        <v>0</v>
      </c>
      <c r="J14" s="67">
        <f t="shared" si="0"/>
        <v>30.750713958810067</v>
      </c>
      <c r="K14" s="81"/>
    </row>
    <row r="15" spans="1:14" ht="30.5" thickBot="1" x14ac:dyDescent="0.3">
      <c r="A15" s="72"/>
      <c r="B15" s="73" t="s">
        <v>12</v>
      </c>
      <c r="C15" s="74">
        <f>+C11+C14</f>
        <v>477000</v>
      </c>
      <c r="D15" s="75"/>
      <c r="E15" s="75"/>
      <c r="F15" s="75"/>
      <c r="G15" s="75"/>
      <c r="H15" s="75"/>
      <c r="I15" s="57"/>
      <c r="J15" s="57"/>
    </row>
    <row r="16" spans="1:14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</row>
    <row r="17" spans="1:10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</row>
    <row r="18" spans="1:10" ht="14" x14ac:dyDescent="0.3">
      <c r="A18" s="76" t="s">
        <v>2</v>
      </c>
      <c r="B18" s="57"/>
      <c r="C18" s="57"/>
      <c r="D18" s="57"/>
      <c r="E18" s="57"/>
      <c r="F18" s="57"/>
      <c r="G18" s="57"/>
      <c r="H18" s="57"/>
      <c r="I18" s="57"/>
      <c r="J18" s="57"/>
    </row>
    <row r="19" spans="1:10" ht="14" x14ac:dyDescent="0.3">
      <c r="A19" s="76" t="s">
        <v>33</v>
      </c>
      <c r="B19" s="57"/>
      <c r="C19" s="57"/>
      <c r="D19" s="57"/>
      <c r="E19" s="57"/>
      <c r="F19" s="57"/>
      <c r="G19" s="57"/>
      <c r="H19" s="57"/>
      <c r="I19" s="57"/>
      <c r="J19" s="57"/>
    </row>
    <row r="20" spans="1:10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</row>
  </sheetData>
  <mergeCells count="7">
    <mergeCell ref="A12:A14"/>
    <mergeCell ref="L9:N9"/>
    <mergeCell ref="E7:I7"/>
    <mergeCell ref="A2:I2"/>
    <mergeCell ref="A3:I3"/>
    <mergeCell ref="A4:I4"/>
    <mergeCell ref="A9:A11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21"/>
  <sheetViews>
    <sheetView showGridLines="0" showZeros="0" topLeftCell="Q13" zoomScaleNormal="100" workbookViewId="0">
      <selection activeCell="G18" sqref="G18"/>
    </sheetView>
  </sheetViews>
  <sheetFormatPr baseColWidth="10" defaultColWidth="11.453125" defaultRowHeight="15.5" x14ac:dyDescent="0.25"/>
  <cols>
    <col min="1" max="1" width="30.453125" style="9" customWidth="1"/>
    <col min="2" max="2" width="30.26953125" style="10" customWidth="1"/>
    <col min="3" max="3" width="25.1796875" style="10" customWidth="1"/>
    <col min="4" max="4" width="17" style="10" customWidth="1"/>
    <col min="5" max="24" width="16.7265625" style="10" customWidth="1"/>
    <col min="25" max="16384" width="11.453125" style="10"/>
  </cols>
  <sheetData>
    <row r="1" spans="1:28" x14ac:dyDescent="0.25">
      <c r="AA1" s="12" t="s">
        <v>6</v>
      </c>
    </row>
    <row r="2" spans="1:28" s="3" customFormat="1" ht="48" customHeight="1" x14ac:dyDescent="0.2">
      <c r="A2" s="2"/>
      <c r="D2" s="4"/>
      <c r="E2" s="4"/>
      <c r="F2" s="4"/>
      <c r="G2" s="4"/>
      <c r="H2" s="5"/>
      <c r="M2" s="11"/>
      <c r="AA2" s="13" t="s">
        <v>17</v>
      </c>
      <c r="AB2" s="14">
        <v>50</v>
      </c>
    </row>
    <row r="3" spans="1:28" s="3" customFormat="1" ht="22.5" customHeight="1" x14ac:dyDescent="0.2">
      <c r="A3" s="102" t="s">
        <v>19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AA3" s="31" t="s">
        <v>8</v>
      </c>
    </row>
    <row r="4" spans="1:28" s="3" customFormat="1" ht="22.5" customHeight="1" x14ac:dyDescent="0.2">
      <c r="A4" s="102" t="s">
        <v>20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</row>
    <row r="5" spans="1:28" s="3" customFormat="1" ht="24.65" customHeight="1" x14ac:dyDescent="0.2">
      <c r="A5" s="102" t="s">
        <v>3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</row>
    <row r="6" spans="1:28" s="3" customFormat="1" ht="24.65" customHeight="1" thickBot="1" x14ac:dyDescent="0.25">
      <c r="A6" s="27"/>
      <c r="B6" s="27"/>
      <c r="C6" s="27"/>
      <c r="D6" s="27"/>
      <c r="E6" s="27"/>
      <c r="F6" s="27"/>
      <c r="G6" s="27"/>
      <c r="H6" s="4"/>
    </row>
    <row r="7" spans="1:28" s="3" customFormat="1" ht="24.75" customHeight="1" thickBot="1" x14ac:dyDescent="0.4">
      <c r="A7" s="2"/>
      <c r="B7" s="6"/>
      <c r="C7" s="7"/>
      <c r="D7" s="7"/>
      <c r="E7" s="93" t="s">
        <v>14</v>
      </c>
      <c r="F7" s="94"/>
      <c r="G7" s="94"/>
      <c r="H7" s="94"/>
      <c r="I7" s="94"/>
      <c r="J7" s="95"/>
      <c r="K7" s="96" t="s">
        <v>30</v>
      </c>
      <c r="L7" s="97"/>
      <c r="M7" s="97"/>
      <c r="N7" s="97"/>
      <c r="O7" s="97"/>
      <c r="P7" s="97"/>
      <c r="Q7" s="98"/>
      <c r="R7" s="99" t="s">
        <v>32</v>
      </c>
      <c r="S7" s="100"/>
      <c r="T7" s="100"/>
      <c r="U7" s="100"/>
      <c r="V7" s="100"/>
      <c r="W7" s="100"/>
      <c r="X7" s="101"/>
    </row>
    <row r="8" spans="1:28" s="8" customFormat="1" ht="30.5" thickBot="1" x14ac:dyDescent="0.35">
      <c r="A8" s="15" t="s">
        <v>4</v>
      </c>
      <c r="B8" s="16" t="s">
        <v>5</v>
      </c>
      <c r="C8" s="17" t="s">
        <v>26</v>
      </c>
      <c r="D8" s="18" t="s">
        <v>0</v>
      </c>
      <c r="E8" s="16" t="s">
        <v>27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27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  <c r="R8" s="16" t="s">
        <v>15</v>
      </c>
      <c r="S8" s="16" t="s">
        <v>28</v>
      </c>
      <c r="T8" s="17" t="s">
        <v>1</v>
      </c>
      <c r="U8" s="17" t="s">
        <v>16</v>
      </c>
      <c r="V8" s="17" t="s">
        <v>9</v>
      </c>
      <c r="W8" s="17" t="s">
        <v>10</v>
      </c>
      <c r="X8" s="18" t="s">
        <v>11</v>
      </c>
    </row>
    <row r="9" spans="1:28" s="3" customFormat="1" ht="35.15" customHeight="1" thickBot="1" x14ac:dyDescent="0.25">
      <c r="A9" s="83" t="s">
        <v>24</v>
      </c>
      <c r="B9" s="54" t="s">
        <v>21</v>
      </c>
      <c r="C9" s="19">
        <v>258500</v>
      </c>
      <c r="D9" s="20">
        <v>46</v>
      </c>
      <c r="E9" s="21">
        <v>232330.59</v>
      </c>
      <c r="F9" s="22">
        <f>$AB$2*(2-E9/MIN(E$9:E$11))</f>
        <v>41.075294894155448</v>
      </c>
      <c r="G9" s="22">
        <f>D9+F9</f>
        <v>87.075294894155448</v>
      </c>
      <c r="H9" s="42"/>
      <c r="I9" s="33">
        <f t="shared" ref="I9:I14" si="0">+$C9/$C$15*H9</f>
        <v>0</v>
      </c>
      <c r="J9" s="34">
        <f t="shared" ref="J9:J14" si="1">+G9*I9</f>
        <v>0</v>
      </c>
      <c r="K9" s="47">
        <v>0.05</v>
      </c>
      <c r="L9" s="60">
        <f>+$E9*(1-K9)</f>
        <v>220714.06049999999</v>
      </c>
      <c r="M9" s="61">
        <f>$AB$2*(2-L9/MIN(L$9:L$11))</f>
        <v>44.021530149447671</v>
      </c>
      <c r="N9" s="61">
        <f>$D9+M9</f>
        <v>90.021530149447671</v>
      </c>
      <c r="O9" s="79">
        <v>1</v>
      </c>
      <c r="P9" s="33">
        <f t="shared" ref="P9:P14" si="2">+$C9/$C$15*O9</f>
        <v>0.54192872117400415</v>
      </c>
      <c r="Q9" s="34">
        <f>+N9*P9</f>
        <v>48.785252712017233</v>
      </c>
      <c r="R9" s="47"/>
      <c r="S9" s="60">
        <f>+$E9*(1-R9)</f>
        <v>232330.59</v>
      </c>
      <c r="T9" s="61">
        <f>$AB$2*(2-S9/MIN(S$9:S$11))</f>
        <v>41.075294894155448</v>
      </c>
      <c r="U9" s="61">
        <f>$D9+T9</f>
        <v>87.075294894155448</v>
      </c>
      <c r="V9" s="32"/>
      <c r="W9" s="33">
        <f t="shared" ref="W9:W14" si="3">+$C9/$C$15*V9</f>
        <v>0</v>
      </c>
      <c r="X9" s="34">
        <f>+U9*W9</f>
        <v>0</v>
      </c>
    </row>
    <row r="10" spans="1:28" s="3" customFormat="1" ht="35.15" customHeight="1" thickBot="1" x14ac:dyDescent="0.25">
      <c r="A10" s="84"/>
      <c r="B10" s="55" t="s">
        <v>22</v>
      </c>
      <c r="C10" s="19">
        <v>258500</v>
      </c>
      <c r="D10" s="24">
        <v>50</v>
      </c>
      <c r="E10" s="77">
        <v>213530</v>
      </c>
      <c r="F10" s="65">
        <f>$AB$2*(2-E10/MIN(E$9:E$11))</f>
        <v>45.843583140511171</v>
      </c>
      <c r="G10" s="65">
        <f>D10+F10</f>
        <v>95.843583140511171</v>
      </c>
      <c r="H10" s="43">
        <v>1</v>
      </c>
      <c r="I10" s="35">
        <f t="shared" si="0"/>
        <v>0.54192872117400415</v>
      </c>
      <c r="J10" s="36">
        <f t="shared" si="1"/>
        <v>51.940390444071561</v>
      </c>
      <c r="K10" s="49"/>
      <c r="L10" s="50">
        <f>+$E10*(1-K10)</f>
        <v>213530</v>
      </c>
      <c r="M10" s="26">
        <f>$AB$2*(2-L10/MIN(L$9:L$11))</f>
        <v>45.843583140511171</v>
      </c>
      <c r="N10" s="26">
        <f>$D10+M10</f>
        <v>95.843583140511171</v>
      </c>
      <c r="O10" s="44"/>
      <c r="P10" s="35">
        <f t="shared" si="2"/>
        <v>0</v>
      </c>
      <c r="Q10" s="36">
        <f t="shared" ref="Q10:Q14" si="4">+N10*P10</f>
        <v>0</v>
      </c>
      <c r="R10" s="49">
        <v>4.6738000000000002E-2</v>
      </c>
      <c r="S10" s="50">
        <f t="shared" ref="S10:S14" si="5">+$E10*(1-R10)</f>
        <v>203550.03486000001</v>
      </c>
      <c r="T10" s="26">
        <f>$AB$2*(2-S10/MIN(S$9:S$11))</f>
        <v>48.37474575168995</v>
      </c>
      <c r="U10" s="26">
        <f t="shared" ref="U10:U14" si="6">$D10+T10</f>
        <v>98.374745751689943</v>
      </c>
      <c r="V10" s="79">
        <v>1</v>
      </c>
      <c r="W10" s="35">
        <f t="shared" si="3"/>
        <v>0.54192872117400415</v>
      </c>
      <c r="X10" s="36">
        <f t="shared" ref="X10:X14" si="7">+U10*W10</f>
        <v>53.312100161031125</v>
      </c>
    </row>
    <row r="11" spans="1:28" s="3" customFormat="1" ht="42.75" customHeight="1" thickBot="1" x14ac:dyDescent="0.25">
      <c r="A11" s="84"/>
      <c r="B11" s="56" t="s">
        <v>23</v>
      </c>
      <c r="C11" s="19">
        <v>258500</v>
      </c>
      <c r="D11" s="28">
        <v>45</v>
      </c>
      <c r="E11" s="29">
        <v>197141.92</v>
      </c>
      <c r="F11" s="30">
        <f>$AB$2*(2-E11/MIN(E$9:E$11))</f>
        <v>50</v>
      </c>
      <c r="G11" s="30">
        <f>D11+F11</f>
        <v>95</v>
      </c>
      <c r="H11" s="43"/>
      <c r="I11" s="35">
        <f t="shared" si="0"/>
        <v>0</v>
      </c>
      <c r="J11" s="36">
        <f t="shared" si="1"/>
        <v>0</v>
      </c>
      <c r="K11" s="49"/>
      <c r="L11" s="50">
        <f>+$E11*(1-K11)</f>
        <v>197141.92</v>
      </c>
      <c r="M11" s="26">
        <f>$AB$2*(2-L11/MIN(L$9:L$11))</f>
        <v>50</v>
      </c>
      <c r="N11" s="26">
        <f>$D11+M11</f>
        <v>95</v>
      </c>
      <c r="O11" s="44"/>
      <c r="P11" s="35">
        <f t="shared" si="2"/>
        <v>0</v>
      </c>
      <c r="Q11" s="36">
        <f t="shared" si="4"/>
        <v>0</v>
      </c>
      <c r="R11" s="49"/>
      <c r="S11" s="50">
        <f t="shared" si="5"/>
        <v>197141.92</v>
      </c>
      <c r="T11" s="26">
        <f>$AB$2*(2-S11/MIN(S$9:S$11))</f>
        <v>50</v>
      </c>
      <c r="U11" s="26">
        <f t="shared" si="6"/>
        <v>95</v>
      </c>
      <c r="V11" s="44"/>
      <c r="W11" s="35">
        <f t="shared" si="3"/>
        <v>0</v>
      </c>
      <c r="X11" s="36">
        <f t="shared" si="7"/>
        <v>0</v>
      </c>
    </row>
    <row r="12" spans="1:28" s="3" customFormat="1" ht="35.15" customHeight="1" thickBot="1" x14ac:dyDescent="0.25">
      <c r="A12" s="83" t="s">
        <v>25</v>
      </c>
      <c r="B12" s="54" t="s">
        <v>21</v>
      </c>
      <c r="C12" s="19">
        <v>218500</v>
      </c>
      <c r="D12" s="20">
        <v>46</v>
      </c>
      <c r="E12" s="21">
        <v>133641.18</v>
      </c>
      <c r="F12" s="22">
        <f>$AB$2*(2-E12/MIN(E$12:E$14))</f>
        <v>46.214359882480785</v>
      </c>
      <c r="G12" s="22">
        <f t="shared" ref="G12:G14" si="8">D12+F12</f>
        <v>92.214359882480778</v>
      </c>
      <c r="H12" s="42"/>
      <c r="I12" s="33">
        <f t="shared" si="0"/>
        <v>0</v>
      </c>
      <c r="J12" s="34">
        <f t="shared" si="1"/>
        <v>0</v>
      </c>
      <c r="K12" s="47">
        <v>0.05</v>
      </c>
      <c r="L12" s="48">
        <f t="shared" ref="L12:L14" si="9">+$E12*(1-K12)</f>
        <v>126959.12099999998</v>
      </c>
      <c r="M12" s="22">
        <f>$AB$2*(2-L12/MIN(L$12:L$14))</f>
        <v>48.903641888356752</v>
      </c>
      <c r="N12" s="22">
        <f t="shared" ref="N12:N14" si="10">$D12+M12</f>
        <v>94.903641888356759</v>
      </c>
      <c r="O12" s="79">
        <v>1</v>
      </c>
      <c r="P12" s="33">
        <f t="shared" si="2"/>
        <v>0.4580712788259958</v>
      </c>
      <c r="Q12" s="34">
        <f t="shared" si="4"/>
        <v>43.472632605043927</v>
      </c>
      <c r="R12" s="47"/>
      <c r="S12" s="48">
        <f t="shared" si="5"/>
        <v>133641.18</v>
      </c>
      <c r="T12" s="22">
        <f>$AB$2*(2-S12/MIN(S$12:S$14))</f>
        <v>46.214359882480785</v>
      </c>
      <c r="U12" s="22">
        <f t="shared" si="6"/>
        <v>92.214359882480778</v>
      </c>
      <c r="V12" s="45"/>
      <c r="W12" s="33">
        <f t="shared" si="3"/>
        <v>0</v>
      </c>
      <c r="X12" s="34">
        <f t="shared" si="7"/>
        <v>0</v>
      </c>
    </row>
    <row r="13" spans="1:28" s="3" customFormat="1" ht="35.15" customHeight="1" thickBot="1" x14ac:dyDescent="0.25">
      <c r="A13" s="84"/>
      <c r="B13" s="55" t="s">
        <v>22</v>
      </c>
      <c r="C13" s="19">
        <v>218500</v>
      </c>
      <c r="D13" s="24">
        <v>50</v>
      </c>
      <c r="E13" s="25">
        <v>124235</v>
      </c>
      <c r="F13" s="26">
        <f>$AB$2*(2-E13/MIN(E$12:E$14))</f>
        <v>50</v>
      </c>
      <c r="G13" s="26">
        <f t="shared" si="8"/>
        <v>100</v>
      </c>
      <c r="H13" s="43">
        <v>1</v>
      </c>
      <c r="I13" s="35">
        <f t="shared" si="0"/>
        <v>0.4580712788259958</v>
      </c>
      <c r="J13" s="36">
        <f t="shared" si="1"/>
        <v>45.80712788259958</v>
      </c>
      <c r="K13" s="49"/>
      <c r="L13" s="50">
        <f t="shared" si="9"/>
        <v>124235</v>
      </c>
      <c r="M13" s="26">
        <f>$AB$2*(2-L13/MIN(L$12:L$14))</f>
        <v>50</v>
      </c>
      <c r="N13" s="26">
        <f t="shared" si="10"/>
        <v>100</v>
      </c>
      <c r="O13" s="44"/>
      <c r="P13" s="35">
        <f t="shared" si="2"/>
        <v>0</v>
      </c>
      <c r="Q13" s="36">
        <f t="shared" si="4"/>
        <v>0</v>
      </c>
      <c r="R13" s="49">
        <v>0</v>
      </c>
      <c r="S13" s="50">
        <f t="shared" si="5"/>
        <v>124235</v>
      </c>
      <c r="T13" s="26">
        <f>$AB$2*(2-S13/MIN(S$12:S$14))</f>
        <v>50</v>
      </c>
      <c r="U13" s="26">
        <f t="shared" si="6"/>
        <v>100</v>
      </c>
      <c r="V13" s="79">
        <v>1</v>
      </c>
      <c r="W13" s="35">
        <f t="shared" si="3"/>
        <v>0.4580712788259958</v>
      </c>
      <c r="X13" s="36">
        <f t="shared" si="7"/>
        <v>45.80712788259958</v>
      </c>
    </row>
    <row r="14" spans="1:28" s="3" customFormat="1" ht="39" customHeight="1" thickBot="1" x14ac:dyDescent="0.25">
      <c r="A14" s="85"/>
      <c r="B14" s="56" t="s">
        <v>23</v>
      </c>
      <c r="C14" s="19">
        <v>218500</v>
      </c>
      <c r="D14" s="23">
        <v>45</v>
      </c>
      <c r="E14" s="78">
        <v>151309.69</v>
      </c>
      <c r="F14" s="70">
        <f>$AB$2*(2-E14/MIN(E$12:E$14))</f>
        <v>39.103437034652067</v>
      </c>
      <c r="G14" s="70">
        <f t="shared" si="8"/>
        <v>84.103437034652075</v>
      </c>
      <c r="H14" s="51"/>
      <c r="I14" s="38">
        <f t="shared" si="0"/>
        <v>0</v>
      </c>
      <c r="J14" s="39">
        <f t="shared" si="1"/>
        <v>0</v>
      </c>
      <c r="K14" s="46"/>
      <c r="L14" s="69">
        <f t="shared" si="9"/>
        <v>151309.69</v>
      </c>
      <c r="M14" s="70">
        <f>$AB$2*(2-L14/MIN(L$12:L$14))</f>
        <v>39.103437034652067</v>
      </c>
      <c r="N14" s="70">
        <f t="shared" si="10"/>
        <v>84.103437034652075</v>
      </c>
      <c r="O14" s="37"/>
      <c r="P14" s="38">
        <f t="shared" si="2"/>
        <v>0</v>
      </c>
      <c r="Q14" s="39">
        <f t="shared" si="4"/>
        <v>0</v>
      </c>
      <c r="R14" s="46"/>
      <c r="S14" s="69">
        <f t="shared" si="5"/>
        <v>151309.69</v>
      </c>
      <c r="T14" s="70">
        <f>$AB$2*(2-S14/MIN(S$12:S$14))</f>
        <v>39.103437034652067</v>
      </c>
      <c r="U14" s="70">
        <f t="shared" si="6"/>
        <v>84.103437034652075</v>
      </c>
      <c r="V14" s="37"/>
      <c r="W14" s="38">
        <f t="shared" si="3"/>
        <v>0</v>
      </c>
      <c r="X14" s="39">
        <f t="shared" si="7"/>
        <v>0</v>
      </c>
    </row>
    <row r="15" spans="1:28" ht="42.75" customHeight="1" thickBot="1" x14ac:dyDescent="0.3">
      <c r="B15" s="40" t="s">
        <v>12</v>
      </c>
      <c r="C15" s="41">
        <f>C9+C12</f>
        <v>477000</v>
      </c>
      <c r="I15" s="52" t="s">
        <v>13</v>
      </c>
      <c r="J15" s="53">
        <f>SUM(J9:J14)</f>
        <v>97.747518326671141</v>
      </c>
      <c r="P15" s="52" t="s">
        <v>13</v>
      </c>
      <c r="Q15" s="53">
        <f>SUM(Q9:Q14)</f>
        <v>92.257885317061152</v>
      </c>
      <c r="W15" s="52" t="s">
        <v>13</v>
      </c>
      <c r="X15" s="53">
        <f>SUM(X9:X14)</f>
        <v>99.119228043630699</v>
      </c>
    </row>
    <row r="18" spans="1:7" ht="14" x14ac:dyDescent="0.3">
      <c r="A18" s="1" t="s">
        <v>2</v>
      </c>
    </row>
    <row r="19" spans="1:7" ht="14" x14ac:dyDescent="0.3">
      <c r="A19" s="1" t="s">
        <v>33</v>
      </c>
    </row>
    <row r="21" spans="1:7" ht="56.25" customHeight="1" x14ac:dyDescent="0.25">
      <c r="A21" s="92"/>
      <c r="B21" s="92"/>
      <c r="C21" s="92"/>
      <c r="D21" s="92"/>
      <c r="E21" s="92"/>
      <c r="F21" s="92"/>
      <c r="G21" s="92"/>
    </row>
  </sheetData>
  <mergeCells count="9">
    <mergeCell ref="A21:G21"/>
    <mergeCell ref="E7:J7"/>
    <mergeCell ref="K7:Q7"/>
    <mergeCell ref="R7:X7"/>
    <mergeCell ref="A3:X3"/>
    <mergeCell ref="A4:X4"/>
    <mergeCell ref="A5:X5"/>
    <mergeCell ref="A9:A11"/>
    <mergeCell ref="A12:A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2022-12-15T15:33:56Z</dcterms:modified>
</cp:coreProperties>
</file>