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 COMITE\4 - ADJUDICACION\S-02146-2022 RENOVACIÓN DE AUDIOCODIFICADORES IP\Informe\"/>
    </mc:Choice>
  </mc:AlternateContent>
  <xr:revisionPtr revIDLastSave="0" documentId="13_ncr:1_{0019C35E-3EC2-4822-A9E9-C9BD844D9D91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ADJUDICADA'!$A$1:$L$17</definedName>
    <definedName name="_xlnm.Print_Area" localSheetId="1">valoración!$A$2:$Q$17</definedName>
  </definedNames>
  <calcPr calcId="191029"/>
</workbook>
</file>

<file path=xl/calcChain.xml><?xml version="1.0" encoding="utf-8"?>
<calcChain xmlns="http://schemas.openxmlformats.org/spreadsheetml/2006/main">
  <c r="L12" i="6" l="1"/>
  <c r="C13" i="6"/>
  <c r="L10" i="6"/>
  <c r="G12" i="5"/>
  <c r="Q12" i="5"/>
  <c r="Q9" i="5"/>
  <c r="P12" i="5"/>
  <c r="P9" i="5"/>
  <c r="N10" i="5"/>
  <c r="G10" i="5"/>
  <c r="F10" i="5"/>
  <c r="F12" i="5"/>
  <c r="J9" i="5"/>
  <c r="M9" i="5" l="1"/>
  <c r="C13" i="5" l="1"/>
  <c r="L9" i="6" l="1"/>
  <c r="A4" i="6" l="1"/>
  <c r="A3" i="6"/>
  <c r="A2" i="6"/>
  <c r="L12" i="5" l="1"/>
  <c r="P10" i="5"/>
  <c r="L10" i="5"/>
  <c r="I10" i="5"/>
  <c r="L9" i="5"/>
  <c r="I9" i="5"/>
  <c r="F9" i="5"/>
  <c r="G9" i="5" s="1"/>
  <c r="N9" i="5" l="1"/>
  <c r="J10" i="5"/>
  <c r="M10" i="5"/>
  <c r="Q10" i="5" s="1"/>
  <c r="I12" i="5"/>
  <c r="J12" i="5" s="1"/>
  <c r="M12" i="5"/>
  <c r="N12" i="5" s="1"/>
  <c r="J13" i="5" l="1"/>
  <c r="Q13" i="5"/>
</calcChain>
</file>

<file path=xl/sharedStrings.xml><?xml version="1.0" encoding="utf-8"?>
<sst xmlns="http://schemas.openxmlformats.org/spreadsheetml/2006/main" count="63" uniqueCount="35">
  <si>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</si>
  <si>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</si>
  <si>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</si>
  <si>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</si>
  <si>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</si>
  <si>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</si>
  <si>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</si>
  <si>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</si>
  <si>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</si>
  <si>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</si>
  <si>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</si>
  <si>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</si>
  <si>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</si>
  <si>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</si>
  <si>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</si>
  <si>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</si>
  <si>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</si>
  <si>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</si>
  <si>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</si>
  <si>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</si>
  <si>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</si>
  <si>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r>
      <t>Importe Oferta</t>
    </r>
    <r>
      <rPr>
        <b/>
        <i/>
        <sz val="12"/>
        <rFont val="Tahoma"/>
        <family val="2"/>
      </rPr>
      <t xml:space="preserve"> </t>
    </r>
  </si>
  <si>
    <t>Importe Oferta</t>
  </si>
  <si>
    <t>Alternativa 2: oferta conjunta "A" por los dos lotes (5% de descuento)</t>
  </si>
  <si>
    <t>PROPUESTA DE ADJUDICACIÓN DEL EXPEDIENTE S-02146-2022</t>
  </si>
  <si>
    <t>"Renovación de audiocodificadores IP"</t>
  </si>
  <si>
    <t>LOTE 1: Audiocodificadores estacionarios</t>
  </si>
  <si>
    <t>LOTE 2: Audiocodificadores portátiles</t>
  </si>
  <si>
    <t>APLICACIONES ELECTRÓNICAS QUASAR, SA</t>
  </si>
  <si>
    <t xml:space="preserve">AGRUPACIÓN DE SERVICIOS Y PRODUCTOS DE AUDIO,SLU. </t>
  </si>
  <si>
    <t>ADC INGENIERÍA AEROESPACIAL Y NUEVAS TECNOLOGÍAS,SL</t>
  </si>
  <si>
    <t>Desestimada</t>
  </si>
  <si>
    <t>En el apartado Interfaz usuario e indicadores del PCT indicamos: ‘La interfaz de usuario estará compuesta por un display color integrado, un teclado numérico y teclas contextuales o un display color táctil que incluya las funciones de teclado’ Y, por su parte, indican: Pantalla monocromática de alta resolución, Dial Jog, no es necesaria pantalla táctil ni teclado. No se pueden aceptar equipos que no dispongan de teclado/display táctil y pantalla a color, debido a la metodología de trabajo en CRTVE.</t>
  </si>
  <si>
    <t>Madrid, a 22 de diciembre de 2022</t>
  </si>
  <si>
    <t xml:space="preserve">Importe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</si>
</sst>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91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166" fontId="6" fillId="0" borderId="11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1" xfId="2" applyNumberFormat="1" applyFont="1" applyFill="1" applyBorder="1" applyAlignment="1">
      <alignment horizontal="center" vertical="center"/>
    </xf>
    <xf numFmtId="10" fontId="5" fillId="0" borderId="11" xfId="0" applyNumberFormat="1" applyFont="1" applyFill="1" applyBorder="1" applyAlignment="1">
      <alignment horizontal="center" vertical="center"/>
    </xf>
    <xf numFmtId="164" fontId="5" fillId="0" borderId="12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0" fontId="9" fillId="0" borderId="16" xfId="0" applyNumberFormat="1" applyFont="1" applyFill="1" applyBorder="1" applyAlignment="1">
      <alignment horizontal="right" vertical="center" wrapText="1"/>
    </xf>
    <xf numFmtId="166" fontId="17" fillId="0" borderId="16" xfId="0" applyNumberFormat="1" applyFont="1" applyFill="1" applyBorder="1" applyAlignment="1">
      <alignment horizontal="center" vertical="center"/>
    </xf>
    <xf numFmtId="165" fontId="5" fillId="0" borderId="10" xfId="2" applyNumberFormat="1" applyFont="1" applyFill="1" applyBorder="1" applyAlignment="1">
      <alignment horizontal="center" vertical="center"/>
    </xf>
    <xf numFmtId="165" fontId="5" fillId="0" borderId="6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9" fontId="5" fillId="0" borderId="10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19" xfId="0" applyNumberFormat="1" applyFont="1" applyFill="1" applyBorder="1" applyAlignment="1">
      <alignment horizontal="left" vertical="top" wrapText="1"/>
    </xf>
    <xf numFmtId="164" fontId="5" fillId="0" borderId="20" xfId="2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horizontal="right" vertical="center" indent="1"/>
    </xf>
    <xf numFmtId="4" fontId="6" fillId="4" borderId="11" xfId="0" applyNumberFormat="1" applyFont="1" applyFill="1" applyBorder="1" applyAlignment="1">
      <alignment horizontal="right" vertical="center" indent="1"/>
    </xf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4" fontId="9" fillId="4" borderId="11" xfId="0" applyNumberFormat="1" applyFont="1" applyFill="1" applyBorder="1" applyAlignment="1">
      <alignment horizontal="right" vertical="center" indent="1"/>
    </xf>
    <xf numFmtId="0" fontId="0" fillId="5" borderId="0" xfId="0" applyFill="1"/>
    <xf numFmtId="9" fontId="5" fillId="5" borderId="10" xfId="3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1" xfId="0" applyNumberFormat="1" applyFont="1" applyFill="1" applyBorder="1" applyAlignment="1">
      <alignment horizontal="right" vertical="center" indent="1"/>
    </xf>
    <xf numFmtId="10" fontId="5" fillId="5" borderId="11" xfId="0" applyNumberFormat="1" applyFont="1" applyFill="1" applyBorder="1" applyAlignment="1">
      <alignment horizontal="center" vertical="center"/>
    </xf>
    <xf numFmtId="164" fontId="5" fillId="5" borderId="12" xfId="2" applyFont="1" applyFill="1" applyBorder="1" applyAlignment="1">
      <alignment horizontal="center" vertical="center"/>
    </xf>
    <xf numFmtId="9" fontId="5" fillId="5" borderId="6" xfId="3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6" xfId="0" applyNumberFormat="1" applyFont="1" applyFill="1" applyBorder="1" applyAlignment="1">
      <alignment horizontal="right" vertical="center" wrapText="1"/>
    </xf>
    <xf numFmtId="166" fontId="17" fillId="5" borderId="16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6" fillId="5" borderId="19" xfId="0" applyNumberFormat="1" applyFont="1" applyFill="1" applyBorder="1" applyAlignment="1">
      <alignment horizontal="right" vertical="top" wrapText="1"/>
    </xf>
    <xf numFmtId="164" fontId="5" fillId="5" borderId="20" xfId="2" applyFont="1" applyFill="1" applyBorder="1" applyAlignment="1">
      <alignment horizontal="center" vertical="center"/>
    </xf>
    <xf numFmtId="0" fontId="5" fillId="5" borderId="5" xfId="0" applyFont="1" applyFill="1" applyBorder="1"/>
    <xf numFmtId="4" fontId="6" fillId="4" borderId="21" xfId="0" applyNumberFormat="1" applyFont="1" applyFill="1" applyBorder="1" applyAlignment="1">
      <alignment horizontal="center" vertical="center"/>
    </xf>
    <xf numFmtId="9" fontId="18" fillId="5" borderId="3" xfId="3" applyFont="1" applyFill="1" applyBorder="1" applyAlignment="1">
      <alignment horizontal="left" vertical="center"/>
    </xf>
    <xf numFmtId="9" fontId="18" fillId="5" borderId="17" xfId="3" applyFont="1" applyFill="1" applyBorder="1" applyAlignment="1">
      <alignment horizontal="left" vertical="center"/>
    </xf>
    <xf numFmtId="9" fontId="18" fillId="5" borderId="18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3" xfId="2" applyNumberFormat="1" applyFont="1" applyFill="1" applyBorder="1" applyAlignment="1">
      <alignment horizontal="left" vertical="center"/>
    </xf>
    <xf numFmtId="165" fontId="18" fillId="0" borderId="17" xfId="2" applyNumberFormat="1" applyFont="1" applyFill="1" applyBorder="1" applyAlignment="1">
      <alignment horizontal="left" vertical="center"/>
    </xf>
    <xf numFmtId="165" fontId="18" fillId="0" borderId="18" xfId="2" applyNumberFormat="1" applyFont="1" applyFill="1" applyBorder="1" applyAlignment="1">
      <alignment horizontal="left" vertical="center"/>
    </xf>
    <xf numFmtId="9" fontId="18" fillId="0" borderId="3" xfId="3" applyFont="1" applyFill="1" applyBorder="1" applyAlignment="1">
      <alignment horizontal="left" vertical="center"/>
    </xf>
    <xf numFmtId="9" fontId="18" fillId="0" borderId="17" xfId="3" applyFont="1" applyFill="1" applyBorder="1" applyAlignment="1">
      <alignment horizontal="left" vertical="center"/>
    </xf>
    <xf numFmtId="9" fontId="18" fillId="0" borderId="18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vertical="center" wrapText="1"/>
    </xf>
    <xf numFmtId="0" fontId="6" fillId="0" borderId="23" xfId="0" applyNumberFormat="1" applyFont="1" applyFill="1" applyBorder="1" applyAlignment="1">
      <alignment horizontal="center" vertical="center" wrapText="1"/>
    </xf>
    <xf numFmtId="4" fontId="6" fillId="0" borderId="24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left" vertical="center" wrapText="1"/>
    </xf>
    <xf numFmtId="166" fontId="6" fillId="0" borderId="14" xfId="0" applyNumberFormat="1" applyFont="1" applyFill="1" applyBorder="1" applyAlignment="1">
      <alignment horizontal="left" vertical="center"/>
    </xf>
    <xf numFmtId="166" fontId="6" fillId="0" borderId="25" xfId="0" applyNumberFormat="1" applyFont="1" applyFill="1" applyBorder="1" applyAlignment="1">
      <alignment horizontal="left" vertical="center"/>
    </xf>
    <xf numFmtId="4" fontId="9" fillId="0" borderId="2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>
      <alignment horizontal="right" vertical="center" indent="1"/>
    </xf>
    <xf numFmtId="9" fontId="5" fillId="5" borderId="15" xfId="3" applyFont="1" applyFill="1" applyBorder="1" applyAlignment="1">
      <alignment horizontal="left" vertical="center" wrapText="1"/>
    </xf>
    <xf numFmtId="9" fontId="5" fillId="5" borderId="14" xfId="3" applyFont="1" applyFill="1" applyBorder="1" applyAlignment="1">
      <alignment horizontal="left" vertical="center" wrapText="1"/>
    </xf>
    <xf numFmtId="9" fontId="5" fillId="5" borderId="25" xfId="3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workbookViewId="0">
      <selection activeCell="N10" sqref="N10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8" x14ac:dyDescent="0.25">
      <c r="A2" s="71" t="str">
        <f>valoración!A3</f>
        <v>PROPUESTA DE ADJUDICACIÓN DEL EXPEDIENTE S-02146-2022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51"/>
    </row>
    <row r="3" spans="1:12" ht="18" x14ac:dyDescent="0.25">
      <c r="A3" s="71" t="str">
        <f>valoración!A4</f>
        <v>"Renovación de audiocodificadores IP"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51"/>
    </row>
    <row r="4" spans="1:12" ht="18" x14ac:dyDescent="0.25">
      <c r="A4" s="71" t="str">
        <f>valoración!A5</f>
        <v>RESUMEN PUNTUACIÓN TÉCNICA Y ECONÓMICA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51"/>
    </row>
    <row r="5" spans="1:12" x14ac:dyDescent="0.2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3.5" thickBot="1" x14ac:dyDescent="0.2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</row>
    <row r="7" spans="1:12" ht="30.75" customHeight="1" thickBot="1" x14ac:dyDescent="0.25">
      <c r="A7" s="51"/>
      <c r="B7" s="51"/>
      <c r="C7" s="51"/>
      <c r="D7" s="51"/>
      <c r="E7" s="68" t="s">
        <v>23</v>
      </c>
      <c r="F7" s="69"/>
      <c r="G7" s="69"/>
      <c r="H7" s="69"/>
      <c r="I7" s="69"/>
      <c r="J7" s="69"/>
      <c r="K7" s="70"/>
      <c r="L7" s="51"/>
    </row>
    <row r="8" spans="1:12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16</v>
      </c>
      <c r="F8" s="16" t="s">
        <v>34</v>
      </c>
      <c r="G8" s="17" t="s">
        <v>1</v>
      </c>
      <c r="H8" s="17" t="s">
        <v>17</v>
      </c>
      <c r="I8" s="17" t="s">
        <v>10</v>
      </c>
      <c r="J8" s="17" t="s">
        <v>11</v>
      </c>
      <c r="K8" s="18" t="s">
        <v>12</v>
      </c>
      <c r="L8" s="17" t="s">
        <v>20</v>
      </c>
    </row>
    <row r="9" spans="1:12" ht="45.75" thickBot="1" x14ac:dyDescent="0.25">
      <c r="A9" s="19" t="s">
        <v>26</v>
      </c>
      <c r="B9" s="48" t="s">
        <v>28</v>
      </c>
      <c r="C9" s="21">
        <v>616800</v>
      </c>
      <c r="D9" s="22">
        <v>20</v>
      </c>
      <c r="E9" s="52">
        <v>0.05</v>
      </c>
      <c r="F9" s="46">
        <v>256357.5</v>
      </c>
      <c r="G9" s="47">
        <v>75</v>
      </c>
      <c r="H9" s="50">
        <v>95</v>
      </c>
      <c r="I9" s="30">
        <v>1</v>
      </c>
      <c r="J9" s="31">
        <v>0.65630985316024681</v>
      </c>
      <c r="K9" s="56">
        <v>62.35</v>
      </c>
      <c r="L9" s="67">
        <f>100-($F9*100/$C9)</f>
        <v>58.4375</v>
      </c>
    </row>
    <row r="10" spans="1:12" ht="60.75" thickBot="1" x14ac:dyDescent="0.25">
      <c r="A10" s="20"/>
      <c r="B10" s="49" t="s">
        <v>29</v>
      </c>
      <c r="C10" s="21">
        <v>616800</v>
      </c>
      <c r="D10" s="25">
        <v>25</v>
      </c>
      <c r="E10" s="57"/>
      <c r="F10" s="43">
        <v>431760</v>
      </c>
      <c r="G10" s="27">
        <v>23.684210526315795</v>
      </c>
      <c r="H10" s="27">
        <v>48.684210526315795</v>
      </c>
      <c r="I10" s="39"/>
      <c r="J10" s="33"/>
      <c r="K10" s="58"/>
      <c r="L10" s="59">
        <f>100-($F10*100/$C10)</f>
        <v>30</v>
      </c>
    </row>
    <row r="11" spans="1:12" ht="90.75" thickBot="1" x14ac:dyDescent="0.25">
      <c r="A11" s="20"/>
      <c r="B11" s="81" t="s">
        <v>30</v>
      </c>
      <c r="C11" s="21">
        <v>616800</v>
      </c>
      <c r="D11" s="82" t="s">
        <v>31</v>
      </c>
      <c r="E11" s="88" t="s">
        <v>32</v>
      </c>
      <c r="F11" s="89"/>
      <c r="G11" s="89"/>
      <c r="H11" s="89"/>
      <c r="I11" s="89"/>
      <c r="J11" s="89"/>
      <c r="K11" s="90"/>
      <c r="L11" s="59"/>
    </row>
    <row r="12" spans="1:12" ht="45.75" thickBot="1" x14ac:dyDescent="0.25">
      <c r="A12" s="80" t="s">
        <v>27</v>
      </c>
      <c r="B12" s="48" t="s">
        <v>28</v>
      </c>
      <c r="C12" s="21">
        <v>323000</v>
      </c>
      <c r="D12" s="22">
        <v>25</v>
      </c>
      <c r="E12" s="52">
        <v>0.05</v>
      </c>
      <c r="F12" s="53">
        <v>226100</v>
      </c>
      <c r="G12" s="54">
        <v>75</v>
      </c>
      <c r="H12" s="54">
        <v>100</v>
      </c>
      <c r="I12" s="30">
        <v>1</v>
      </c>
      <c r="J12" s="55">
        <v>0.34369014683975313</v>
      </c>
      <c r="K12" s="56">
        <v>34.369014683975315</v>
      </c>
      <c r="L12" s="59">
        <f>100-($F12*100/$C12)</f>
        <v>30</v>
      </c>
    </row>
    <row r="13" spans="1:12" ht="45.75" thickBot="1" x14ac:dyDescent="0.25">
      <c r="A13" s="60"/>
      <c r="B13" s="61" t="s">
        <v>13</v>
      </c>
      <c r="C13" s="62">
        <f>C9+C12</f>
        <v>939800</v>
      </c>
      <c r="D13" s="63"/>
      <c r="E13" s="63"/>
      <c r="F13" s="63"/>
      <c r="G13" s="63"/>
      <c r="H13" s="63"/>
      <c r="I13" s="63"/>
      <c r="J13" s="64" t="s">
        <v>19</v>
      </c>
      <c r="K13" s="65">
        <v>95.457777777777764</v>
      </c>
      <c r="L13" s="51"/>
    </row>
    <row r="14" spans="1:12" x14ac:dyDescent="0.2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5" spans="1:12" x14ac:dyDescent="0.2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</row>
    <row r="16" spans="1:12" ht="14.25" x14ac:dyDescent="0.2">
      <c r="A16" s="66" t="s">
        <v>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</row>
    <row r="17" spans="1:12" ht="14.25" x14ac:dyDescent="0.2">
      <c r="A17" s="66" t="s">
        <v>33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12" x14ac:dyDescent="0.2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</row>
  </sheetData>
  <mergeCells count="5">
    <mergeCell ref="E11:K11"/>
    <mergeCell ref="E7:K7"/>
    <mergeCell ref="A2:K2"/>
    <mergeCell ref="A3:K3"/>
    <mergeCell ref="A4:K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9"/>
  <sheetViews>
    <sheetView showGridLines="0" showZeros="0" topLeftCell="A4" zoomScaleNormal="100" workbookViewId="0">
      <selection activeCell="A17" sqref="A17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75</v>
      </c>
    </row>
    <row r="3" spans="1:21" s="3" customFormat="1" ht="22.5" customHeight="1" x14ac:dyDescent="0.15">
      <c r="A3" s="79" t="s">
        <v>24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T3" s="29" t="s">
        <v>9</v>
      </c>
    </row>
    <row r="4" spans="1:21" s="3" customFormat="1" ht="22.5" customHeight="1" x14ac:dyDescent="0.15">
      <c r="A4" s="79" t="s">
        <v>25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spans="1:21" s="3" customFormat="1" ht="24.6" customHeight="1" x14ac:dyDescent="0.15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spans="1:21" s="3" customFormat="1" ht="24.6" customHeight="1" thickBot="1" x14ac:dyDescent="0.2">
      <c r="A6" s="28"/>
      <c r="B6" s="28"/>
      <c r="C6" s="28"/>
      <c r="D6" s="28"/>
      <c r="E6" s="28"/>
      <c r="F6" s="28"/>
      <c r="G6" s="28"/>
      <c r="H6" s="4"/>
    </row>
    <row r="7" spans="1:21" s="3" customFormat="1" ht="24.75" customHeight="1" thickBot="1" x14ac:dyDescent="0.3">
      <c r="A7" s="2"/>
      <c r="B7" s="6"/>
      <c r="C7" s="7"/>
      <c r="D7" s="7"/>
      <c r="E7" s="73" t="s">
        <v>15</v>
      </c>
      <c r="F7" s="74"/>
      <c r="G7" s="74"/>
      <c r="H7" s="74"/>
      <c r="I7" s="74"/>
      <c r="J7" s="75"/>
      <c r="K7" s="76" t="s">
        <v>23</v>
      </c>
      <c r="L7" s="77"/>
      <c r="M7" s="77"/>
      <c r="N7" s="77"/>
      <c r="O7" s="77"/>
      <c r="P7" s="77"/>
      <c r="Q7" s="78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22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21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45.75" customHeight="1" thickBot="1" x14ac:dyDescent="0.2">
      <c r="A9" s="19" t="s">
        <v>26</v>
      </c>
      <c r="B9" s="48" t="s">
        <v>28</v>
      </c>
      <c r="C9" s="21">
        <v>616800</v>
      </c>
      <c r="D9" s="22">
        <v>20</v>
      </c>
      <c r="E9" s="23">
        <v>269850</v>
      </c>
      <c r="F9" s="24">
        <f>$U$2*(2-E9/MIN(E$9:E$10))</f>
        <v>75</v>
      </c>
      <c r="G9" s="24">
        <f>D9+F9</f>
        <v>95</v>
      </c>
      <c r="H9" s="37">
        <v>1</v>
      </c>
      <c r="I9" s="31">
        <f>+$C9/$C$13*H9</f>
        <v>0.65630985316024681</v>
      </c>
      <c r="J9" s="32">
        <f>+G9*I9</f>
        <v>62.349436050223446</v>
      </c>
      <c r="K9" s="40">
        <v>0.05</v>
      </c>
      <c r="L9" s="46">
        <f>+$E9*(1-K9)</f>
        <v>256357.5</v>
      </c>
      <c r="M9" s="47">
        <f>$U$2*(2-L9/MIN(L$9:L$10))</f>
        <v>75</v>
      </c>
      <c r="N9" s="50">
        <f>$D9+M9</f>
        <v>95</v>
      </c>
      <c r="O9" s="30">
        <v>1</v>
      </c>
      <c r="P9" s="31">
        <f>+$C9/$C$13*O9</f>
        <v>0.65630985316024681</v>
      </c>
      <c r="Q9" s="32">
        <f>+N9*P9</f>
        <v>62.349436050223446</v>
      </c>
    </row>
    <row r="10" spans="1:21" s="3" customFormat="1" ht="51" customHeight="1" thickBot="1" x14ac:dyDescent="0.2">
      <c r="A10" s="20"/>
      <c r="B10" s="49" t="s">
        <v>29</v>
      </c>
      <c r="C10" s="21">
        <v>616800</v>
      </c>
      <c r="D10" s="25">
        <v>25</v>
      </c>
      <c r="E10" s="26">
        <v>431760</v>
      </c>
      <c r="F10" s="27">
        <f>$U$2*(2-E10/MIN(E$9:E$10))</f>
        <v>29.999999999999993</v>
      </c>
      <c r="G10" s="86">
        <f>D10+F10</f>
        <v>54.999999999999993</v>
      </c>
      <c r="H10" s="38"/>
      <c r="I10" s="33">
        <f>+$C10/$C$13*H10</f>
        <v>0</v>
      </c>
      <c r="J10" s="34">
        <f t="shared" ref="J9:J12" si="0">+G10*I10</f>
        <v>0</v>
      </c>
      <c r="K10" s="42"/>
      <c r="L10" s="43">
        <f>+$E10*(1-K10)</f>
        <v>431760</v>
      </c>
      <c r="M10" s="27">
        <f>$U$2*(2-L10/MIN(L$9:L$10))</f>
        <v>23.684210526315795</v>
      </c>
      <c r="N10" s="27">
        <f>$D10+M10</f>
        <v>48.684210526315795</v>
      </c>
      <c r="O10" s="39"/>
      <c r="P10" s="33">
        <f>+$C10/$C$13*O10</f>
        <v>0</v>
      </c>
      <c r="Q10" s="34">
        <f t="shared" ref="Q10:Q12" si="1">+N10*P10</f>
        <v>0</v>
      </c>
    </row>
    <row r="11" spans="1:21" s="3" customFormat="1" ht="61.5" customHeight="1" thickBot="1" x14ac:dyDescent="0.2">
      <c r="A11" s="20"/>
      <c r="B11" s="81" t="s">
        <v>30</v>
      </c>
      <c r="C11" s="21">
        <v>616800</v>
      </c>
      <c r="D11" s="82" t="s">
        <v>31</v>
      </c>
      <c r="E11" s="83" t="s">
        <v>32</v>
      </c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5"/>
    </row>
    <row r="12" spans="1:21" s="3" customFormat="1" ht="51" customHeight="1" thickBot="1" x14ac:dyDescent="0.2">
      <c r="A12" s="80" t="s">
        <v>27</v>
      </c>
      <c r="B12" s="48" t="s">
        <v>28</v>
      </c>
      <c r="C12" s="21">
        <v>323000</v>
      </c>
      <c r="D12" s="22">
        <v>25</v>
      </c>
      <c r="E12" s="23">
        <v>238000</v>
      </c>
      <c r="F12" s="24">
        <f>$U$2*(2-E12/MIN(E$12:E$12))</f>
        <v>75</v>
      </c>
      <c r="G12" s="24">
        <f>D12+F12</f>
        <v>100</v>
      </c>
      <c r="H12" s="37">
        <v>1</v>
      </c>
      <c r="I12" s="31">
        <f>+$C12/$C$13*H12</f>
        <v>0.34369014683975313</v>
      </c>
      <c r="J12" s="32">
        <f t="shared" si="0"/>
        <v>34.369014683975315</v>
      </c>
      <c r="K12" s="40">
        <v>0.05</v>
      </c>
      <c r="L12" s="41">
        <f t="shared" ref="L12" si="2">+$E12*(1-K12)</f>
        <v>226100</v>
      </c>
      <c r="M12" s="24">
        <f>$U$2*(2-L12/MIN(L$12:L$12))</f>
        <v>75</v>
      </c>
      <c r="N12" s="87">
        <f t="shared" ref="N12" si="3">$D12+M12</f>
        <v>100</v>
      </c>
      <c r="O12" s="30">
        <v>1</v>
      </c>
      <c r="P12" s="31">
        <f>+$C12/$C$13*O12</f>
        <v>0.34369014683975313</v>
      </c>
      <c r="Q12" s="32">
        <f>+N12*P12</f>
        <v>34.369014683975315</v>
      </c>
    </row>
    <row r="13" spans="1:21" ht="42.75" customHeight="1" thickBot="1" x14ac:dyDescent="0.25">
      <c r="B13" s="35" t="s">
        <v>13</v>
      </c>
      <c r="C13" s="36">
        <f>C9+C12</f>
        <v>939800</v>
      </c>
      <c r="I13" s="44" t="s">
        <v>14</v>
      </c>
      <c r="J13" s="45">
        <f>SUM(J9:J12)</f>
        <v>96.718450734198768</v>
      </c>
      <c r="P13" s="44" t="s">
        <v>14</v>
      </c>
      <c r="Q13" s="45">
        <f>SUM(Q9:Q12)</f>
        <v>96.718450734198768</v>
      </c>
    </row>
    <row r="16" spans="1:21" ht="14.25" x14ac:dyDescent="0.2">
      <c r="A16" s="1" t="s">
        <v>2</v>
      </c>
    </row>
    <row r="17" spans="1:7" ht="14.25" x14ac:dyDescent="0.2">
      <c r="A17" s="1" t="s">
        <v>33</v>
      </c>
    </row>
    <row r="19" spans="1:7" ht="56.25" customHeight="1" x14ac:dyDescent="0.2">
      <c r="A19" s="72"/>
      <c r="B19" s="72"/>
      <c r="C19" s="72"/>
      <c r="D19" s="72"/>
      <c r="E19" s="72"/>
      <c r="F19" s="72"/>
      <c r="G19" s="72"/>
    </row>
  </sheetData>
  <mergeCells count="7">
    <mergeCell ref="A19:G19"/>
    <mergeCell ref="E7:J7"/>
    <mergeCell ref="K7:Q7"/>
    <mergeCell ref="A3:Q3"/>
    <mergeCell ref="A4:Q4"/>
    <mergeCell ref="A5:Q5"/>
    <mergeCell ref="E11:Q1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2022-12-16T12:28:30Z</dcterms:modified>
</cp:coreProperties>
</file>