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6913-2022 Equipamiento video HD para estacion terrena transportable\"/>
    </mc:Choice>
  </mc:AlternateContent>
  <xr:revisionPtr revIDLastSave="0" documentId="13_ncr:1_{F4C14688-2A23-4282-83E4-32FECFF7323D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ADJUDICADA'!$A$1:$K$6</definedName>
    <definedName name="_xlnm.Print_Area" localSheetId="1">valoración!$A$2:$Q$23</definedName>
  </definedNames>
  <calcPr calcId="191029"/>
</workbook>
</file>

<file path=xl/calcChain.xml><?xml version="1.0" encoding="utf-8"?>
<calcChain xmlns="http://schemas.openxmlformats.org/spreadsheetml/2006/main">
  <c r="K16" i="6" l="1"/>
  <c r="F17" i="5" l="1"/>
  <c r="G17" i="5" s="1"/>
  <c r="F15" i="5"/>
  <c r="F16" i="5"/>
  <c r="K17" i="6" l="1"/>
  <c r="K13" i="6"/>
  <c r="K12" i="6"/>
  <c r="K11" i="6"/>
  <c r="K9" i="6"/>
  <c r="J18" i="6"/>
  <c r="C18" i="6"/>
  <c r="K8" i="6"/>
  <c r="F9" i="5"/>
  <c r="L15" i="5" l="1"/>
  <c r="L14" i="5"/>
  <c r="M15" i="5"/>
  <c r="M14" i="5"/>
  <c r="N14" i="5" s="1"/>
  <c r="M18" i="5"/>
  <c r="N18" i="5" s="1"/>
  <c r="M13" i="5"/>
  <c r="N13" i="5" s="1"/>
  <c r="M12" i="5"/>
  <c r="N12" i="5" s="1"/>
  <c r="M10" i="5"/>
  <c r="N10" i="5" s="1"/>
  <c r="M9" i="5"/>
  <c r="N9" i="5" s="1"/>
  <c r="M17" i="5" l="1"/>
  <c r="N17" i="5" s="1"/>
  <c r="N15" i="5"/>
  <c r="M16" i="5"/>
  <c r="N16" i="5" s="1"/>
  <c r="F12" i="5" l="1"/>
  <c r="G12" i="5" s="1"/>
  <c r="G16" i="5"/>
  <c r="G15" i="5"/>
  <c r="C19" i="5"/>
  <c r="I17" i="5" s="1"/>
  <c r="F10" i="5"/>
  <c r="F13" i="5"/>
  <c r="G13" i="5" s="1"/>
  <c r="F14" i="5"/>
  <c r="G14" i="5" s="1"/>
  <c r="F18" i="5"/>
  <c r="G18" i="5" s="1"/>
  <c r="J17" i="5" l="1"/>
  <c r="A4" i="6"/>
  <c r="A3" i="6"/>
  <c r="A2" i="6"/>
  <c r="G10" i="5" l="1"/>
  <c r="G9" i="5"/>
  <c r="P18" i="5" l="1"/>
  <c r="Q18" i="5" s="1"/>
  <c r="I18" i="5"/>
  <c r="J18" i="5" s="1"/>
  <c r="P17" i="5"/>
  <c r="Q17" i="5" s="1"/>
  <c r="P15" i="5"/>
  <c r="Q15" i="5" s="1"/>
  <c r="I15" i="5"/>
  <c r="J15" i="5" s="1"/>
  <c r="I16" i="5"/>
  <c r="J16" i="5" s="1"/>
  <c r="P10" i="5"/>
  <c r="I9" i="5"/>
  <c r="J9" i="5" s="1"/>
  <c r="J19" i="5" s="1"/>
  <c r="I10" i="5"/>
  <c r="J10" i="5" s="1"/>
  <c r="P9" i="5"/>
  <c r="I14" i="5"/>
  <c r="J14" i="5" s="1"/>
  <c r="P14" i="5"/>
  <c r="Q14" i="5" s="1"/>
  <c r="I13" i="5"/>
  <c r="J13" i="5" s="1"/>
  <c r="P13" i="5"/>
  <c r="Q13" i="5" s="1"/>
  <c r="P12" i="5"/>
  <c r="I12" i="5"/>
  <c r="J12" i="5" s="1"/>
  <c r="Q9" i="5" l="1"/>
  <c r="Q19" i="5" s="1"/>
  <c r="Q10" i="5"/>
  <c r="Q12" i="5"/>
</calcChain>
</file>

<file path=xl/sharedStrings.xml><?xml version="1.0" encoding="utf-8"?>
<sst xmlns="http://schemas.openxmlformats.org/spreadsheetml/2006/main" count="82" uniqueCount="46">
  <si>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</si>
  <si>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</si>
  <si>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</si>
  <si>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</si>
  <si>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</si>
  <si>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</si>
  <si>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</si>
  <si>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</si>
  <si>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</si>
  <si>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</si>
  <si>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</si>
  <si>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</si>
  <si>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</si>
  <si>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</si>
  <si>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</si>
  <si>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</si>
  <si>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</si>
  <si>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</si>
  <si>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</si>
  <si>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S-06913-2022</t>
  </si>
  <si>
    <t>"Equipamiento de Video HD para Estación Terrena Transportable"</t>
  </si>
  <si>
    <t>LOTE 1:                                     SUMINISTRO E INSTALACIÓN DE AMPLIFICADORES HPA</t>
  </si>
  <si>
    <t>DESIERTO</t>
  </si>
  <si>
    <t>NUEVAS  TECNOLOGÍAS INALÁMBRICAS, S.L.</t>
  </si>
  <si>
    <t>Q IN MEDIA BROADCAST SYSTEMS, S.L.</t>
  </si>
  <si>
    <t>APLICACIONES ELECTRÓNICAS QUASAR, S.A.</t>
  </si>
  <si>
    <t>ALBALA INGENIEROS, S.A.</t>
  </si>
  <si>
    <t>ABACANTO SOLUCIONES, S.L.</t>
  </si>
  <si>
    <t>BROADCAST MEDITEL, S.A.</t>
  </si>
  <si>
    <t>PAPYRO SERVICIOS Y PROYECTOS, S.L.</t>
  </si>
  <si>
    <t xml:space="preserve">Valor estimado            </t>
  </si>
  <si>
    <r>
      <t>Importe Oferta</t>
    </r>
    <r>
      <rPr>
        <b/>
        <i/>
        <sz val="12"/>
        <rFont val="Tahoma"/>
        <family val="2"/>
      </rPr>
      <t xml:space="preserve"> </t>
    </r>
  </si>
  <si>
    <t>LOTE 2:                                 SUMINISTRO DE UN SISTEMA DE RF PARA CÁMARAS INALÁMBRICAS</t>
  </si>
  <si>
    <t>LOTE 4:                                       MONITORES LCD/TFT DE 5”-6” Y 9”-10”</t>
  </si>
  <si>
    <t>LOTE 5:                                      EQUIPAMIENTO AUXILIAR DE AUDIO Y VÍDEO</t>
  </si>
  <si>
    <t>LOTE 6:                                      MONITORADO DE AUDIO EMBEBIDO PARA RACK</t>
  </si>
  <si>
    <t>LOTE 7:                                                    WFM PARA PRESENTACIÓN EN PANTALLA XGA</t>
  </si>
  <si>
    <t>LOTE 8:                                            INSTALACIÓN DE LA UNIDAD MÓVIL</t>
  </si>
  <si>
    <t xml:space="preserve">Importe Oferta </t>
  </si>
  <si>
    <t xml:space="preserve">Valor estimado             </t>
  </si>
  <si>
    <t>LOTE 3:                                                        MATRIZ DE VÍDEO DIGITAL</t>
  </si>
  <si>
    <t>Madrid, a 12 de enero de 2023</t>
  </si>
  <si>
    <t>Alternativa 2: oferta conjunta "UNITECNIC" por el lote 6 (0,1% dtº ) y lote 7 (5,25% dtº)</t>
  </si>
  <si>
    <t>SERVICIOS INTEGRALES UNITECNIC, S.L.U</t>
  </si>
  <si>
    <t>LOTE 2:                                       SUMINISTRO DE UN SISTEMA DE RF PARA CÁMARAS INALÁMBRICAS</t>
  </si>
  <si>
    <t>LOTE 3:                                             MATRIZ DE VÍDEO DIGITAL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</si>
</sst>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22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9"/>
      <name val="Tahoma"/>
      <family val="2"/>
    </font>
    <font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25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21" xfId="0" applyNumberFormat="1" applyFont="1" applyFill="1" applyBorder="1" applyAlignment="1">
      <alignment horizontal="right" vertical="center" wrapText="1"/>
    </xf>
    <xf numFmtId="166" fontId="17" fillId="0" borderId="21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0" fontId="16" fillId="0" borderId="24" xfId="0" applyNumberFormat="1" applyFont="1" applyFill="1" applyBorder="1" applyAlignment="1">
      <alignment horizontal="left" vertical="top" wrapText="1"/>
    </xf>
    <xf numFmtId="164" fontId="5" fillId="0" borderId="25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0" fontId="0" fillId="5" borderId="0" xfId="0" applyFill="1"/>
    <xf numFmtId="4" fontId="6" fillId="5" borderId="12" xfId="0" applyNumberFormat="1" applyFont="1" applyFill="1" applyBorder="1" applyAlignment="1">
      <alignment horizontal="right" vertical="center" indent="1"/>
    </xf>
    <xf numFmtId="165" fontId="5" fillId="5" borderId="12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right" vertical="center" indent="1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4" fontId="6" fillId="5" borderId="27" xfId="0" applyNumberFormat="1" applyFont="1" applyFill="1" applyBorder="1" applyAlignment="1">
      <alignment horizontal="center" vertical="center"/>
    </xf>
    <xf numFmtId="0" fontId="1" fillId="5" borderId="12" xfId="0" applyFont="1" applyFill="1" applyBorder="1"/>
    <xf numFmtId="4" fontId="6" fillId="5" borderId="16" xfId="0" applyNumberFormat="1" applyFont="1" applyFill="1" applyBorder="1" applyAlignment="1">
      <alignment horizontal="right" vertical="center" indent="1"/>
    </xf>
    <xf numFmtId="165" fontId="5" fillId="5" borderId="16" xfId="2" applyNumberFormat="1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165" fontId="5" fillId="5" borderId="2" xfId="2" applyNumberFormat="1" applyFont="1" applyFill="1" applyBorder="1" applyAlignment="1">
      <alignment horizontal="center" vertical="center"/>
    </xf>
    <xf numFmtId="0" fontId="5" fillId="5" borderId="6" xfId="0" applyFont="1" applyFill="1" applyBorder="1"/>
    <xf numFmtId="0" fontId="20" fillId="3" borderId="1" xfId="0" applyFont="1" applyFill="1" applyBorder="1" applyAlignment="1">
      <alignment horizontal="left" vertical="center" wrapText="1"/>
    </xf>
    <xf numFmtId="166" fontId="6" fillId="0" borderId="29" xfId="0" applyNumberFormat="1" applyFont="1" applyFill="1" applyBorder="1" applyAlignment="1">
      <alignment horizontal="center" vertical="center"/>
    </xf>
    <xf numFmtId="4" fontId="6" fillId="0" borderId="30" xfId="0" applyNumberFormat="1" applyFont="1" applyFill="1" applyBorder="1" applyAlignment="1">
      <alignment horizontal="center" vertical="center"/>
    </xf>
    <xf numFmtId="4" fontId="6" fillId="0" borderId="29" xfId="0" applyNumberFormat="1" applyFont="1" applyFill="1" applyBorder="1" applyAlignment="1">
      <alignment horizontal="right" vertical="center" indent="1"/>
    </xf>
    <xf numFmtId="0" fontId="20" fillId="3" borderId="21" xfId="0" applyFont="1" applyFill="1" applyBorder="1" applyAlignment="1">
      <alignment horizontal="left" vertical="center" wrapText="1"/>
    </xf>
    <xf numFmtId="4" fontId="6" fillId="0" borderId="12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/>
    <xf numFmtId="165" fontId="5" fillId="0" borderId="18" xfId="2" applyNumberFormat="1" applyFont="1" applyFill="1" applyBorder="1" applyAlignment="1">
      <alignment horizontal="center" vertical="center"/>
    </xf>
    <xf numFmtId="165" fontId="5" fillId="0" borderId="32" xfId="2" applyNumberFormat="1" applyFont="1" applyFill="1" applyBorder="1" applyAlignment="1">
      <alignment horizontal="center" vertical="center"/>
    </xf>
    <xf numFmtId="167" fontId="5" fillId="0" borderId="11" xfId="3" applyNumberFormat="1" applyFont="1" applyFill="1" applyBorder="1" applyAlignment="1">
      <alignment horizontal="center" vertical="center"/>
    </xf>
    <xf numFmtId="10" fontId="5" fillId="0" borderId="11" xfId="3" applyNumberFormat="1" applyFont="1" applyFill="1" applyBorder="1" applyAlignment="1">
      <alignment horizontal="center" vertical="center"/>
    </xf>
    <xf numFmtId="4" fontId="6" fillId="0" borderId="31" xfId="0" applyNumberFormat="1" applyFont="1" applyFill="1" applyBorder="1" applyAlignment="1">
      <alignment horizontal="right" vertical="center" indent="1"/>
    </xf>
    <xf numFmtId="0" fontId="21" fillId="0" borderId="11" xfId="0" applyNumberFormat="1" applyFont="1" applyFill="1" applyBorder="1" applyAlignment="1">
      <alignment horizontal="left" vertical="center" wrapText="1"/>
    </xf>
    <xf numFmtId="0" fontId="21" fillId="0" borderId="7" xfId="0" applyNumberFormat="1" applyFont="1" applyFill="1" applyBorder="1" applyAlignment="1">
      <alignment horizontal="left" vertical="center" wrapText="1"/>
    </xf>
    <xf numFmtId="0" fontId="21" fillId="0" borderId="15" xfId="0" applyNumberFormat="1" applyFont="1" applyFill="1" applyBorder="1" applyAlignment="1">
      <alignment horizontal="left" vertical="center" wrapText="1"/>
    </xf>
    <xf numFmtId="0" fontId="16" fillId="6" borderId="24" xfId="0" applyNumberFormat="1" applyFont="1" applyFill="1" applyBorder="1" applyAlignment="1">
      <alignment horizontal="left" vertical="top" wrapText="1"/>
    </xf>
    <xf numFmtId="164" fontId="5" fillId="6" borderId="25" xfId="2" applyFont="1" applyFill="1" applyBorder="1" applyAlignment="1">
      <alignment horizontal="center" vertical="center"/>
    </xf>
    <xf numFmtId="4" fontId="6" fillId="6" borderId="16" xfId="0" applyNumberFormat="1" applyFont="1" applyFill="1" applyBorder="1" applyAlignment="1">
      <alignment horizontal="right" vertical="center" indent="1"/>
    </xf>
    <xf numFmtId="4" fontId="1" fillId="0" borderId="0" xfId="0" applyNumberFormat="1" applyFont="1" applyFill="1" applyBorder="1"/>
    <xf numFmtId="4" fontId="6" fillId="5" borderId="29" xfId="0" applyNumberFormat="1" applyFont="1" applyFill="1" applyBorder="1" applyAlignment="1">
      <alignment horizontal="right" vertical="center" indent="1"/>
    </xf>
    <xf numFmtId="10" fontId="5" fillId="5" borderId="29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5" borderId="9" xfId="0" applyNumberFormat="1" applyFont="1" applyFill="1" applyBorder="1" applyAlignment="1">
      <alignment horizontal="right" vertical="center" indent="1"/>
    </xf>
    <xf numFmtId="164" fontId="5" fillId="5" borderId="10" xfId="2" applyFont="1" applyFill="1" applyBorder="1" applyAlignment="1">
      <alignment horizontal="center" vertical="center"/>
    </xf>
    <xf numFmtId="165" fontId="5" fillId="5" borderId="31" xfId="2" applyNumberFormat="1" applyFont="1" applyFill="1" applyBorder="1" applyAlignment="1">
      <alignment horizontal="center" vertical="center"/>
    </xf>
    <xf numFmtId="165" fontId="5" fillId="5" borderId="29" xfId="2" applyNumberFormat="1" applyFont="1" applyFill="1" applyBorder="1" applyAlignment="1">
      <alignment horizontal="center" vertical="center"/>
    </xf>
    <xf numFmtId="0" fontId="21" fillId="0" borderId="28" xfId="0" applyNumberFormat="1" applyFont="1" applyFill="1" applyBorder="1" applyAlignment="1">
      <alignment horizontal="left" vertical="center" wrapText="1"/>
    </xf>
    <xf numFmtId="166" fontId="6" fillId="0" borderId="28" xfId="0" applyNumberFormat="1" applyFont="1" applyFill="1" applyBorder="1" applyAlignment="1">
      <alignment horizontal="right" vertical="center" indent="1"/>
    </xf>
    <xf numFmtId="164" fontId="5" fillId="5" borderId="30" xfId="2" applyFont="1" applyFill="1" applyBorder="1" applyAlignment="1">
      <alignment horizontal="center" vertical="center"/>
    </xf>
    <xf numFmtId="4" fontId="6" fillId="5" borderId="35" xfId="0" applyNumberFormat="1" applyFont="1" applyFill="1" applyBorder="1" applyAlignment="1">
      <alignment horizontal="center" vertical="center"/>
    </xf>
    <xf numFmtId="4" fontId="6" fillId="5" borderId="26" xfId="0" applyNumberFormat="1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>
      <alignment horizontal="right" vertical="center" indent="1"/>
    </xf>
    <xf numFmtId="0" fontId="21" fillId="4" borderId="15" xfId="0" applyNumberFormat="1" applyFont="1" applyFill="1" applyBorder="1" applyAlignment="1">
      <alignment horizontal="left" vertical="center" wrapText="1"/>
    </xf>
    <xf numFmtId="166" fontId="6" fillId="4" borderId="29" xfId="0" applyNumberFormat="1" applyFont="1" applyFill="1" applyBorder="1" applyAlignment="1">
      <alignment horizontal="center" vertical="center"/>
    </xf>
    <xf numFmtId="4" fontId="6" fillId="4" borderId="16" xfId="0" applyNumberFormat="1" applyFont="1" applyFill="1" applyBorder="1" applyAlignment="1">
      <alignment horizontal="center" vertical="center"/>
    </xf>
    <xf numFmtId="166" fontId="6" fillId="4" borderId="16" xfId="0" applyNumberFormat="1" applyFont="1" applyFill="1" applyBorder="1" applyAlignment="1">
      <alignment horizontal="right" vertical="center" indent="1"/>
    </xf>
    <xf numFmtId="0" fontId="6" fillId="6" borderId="20" xfId="0" applyNumberFormat="1" applyFont="1" applyFill="1" applyBorder="1" applyAlignment="1">
      <alignment horizontal="center" vertical="center" wrapText="1"/>
    </xf>
    <xf numFmtId="0" fontId="6" fillId="6" borderId="19" xfId="0" applyNumberFormat="1" applyFont="1" applyFill="1" applyBorder="1" applyAlignment="1">
      <alignment horizontal="center" vertical="center" wrapText="1"/>
    </xf>
    <xf numFmtId="0" fontId="6" fillId="6" borderId="36" xfId="0" applyNumberFormat="1" applyFont="1" applyFill="1" applyBorder="1" applyAlignment="1">
      <alignment horizontal="center" vertical="center" wrapText="1"/>
    </xf>
    <xf numFmtId="9" fontId="18" fillId="5" borderId="4" xfId="3" applyFont="1" applyFill="1" applyBorder="1" applyAlignment="1">
      <alignment horizontal="left" vertical="center"/>
    </xf>
    <xf numFmtId="9" fontId="18" fillId="5" borderId="22" xfId="3" applyFont="1" applyFill="1" applyBorder="1" applyAlignment="1">
      <alignment horizontal="left" vertical="center"/>
    </xf>
    <xf numFmtId="9" fontId="18" fillId="5" borderId="23" xfId="3" applyFont="1" applyFill="1" applyBorder="1" applyAlignment="1">
      <alignment horizontal="left" vertical="center"/>
    </xf>
    <xf numFmtId="0" fontId="20" fillId="3" borderId="1" xfId="0" applyFont="1" applyFill="1" applyBorder="1" applyAlignment="1">
      <alignment horizontal="left" vertical="center" wrapText="1"/>
    </xf>
    <xf numFmtId="0" fontId="20" fillId="3" borderId="5" xfId="0" applyFont="1" applyFill="1" applyBorder="1" applyAlignment="1">
      <alignment horizontal="left" vertical="center" wrapText="1"/>
    </xf>
    <xf numFmtId="0" fontId="20" fillId="3" borderId="3" xfId="0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2" xfId="2" applyNumberFormat="1" applyFont="1" applyFill="1" applyBorder="1" applyAlignment="1">
      <alignment horizontal="left" vertical="center"/>
    </xf>
    <xf numFmtId="165" fontId="18" fillId="0" borderId="23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2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6" fillId="6" borderId="33" xfId="0" applyNumberFormat="1" applyFont="1" applyFill="1" applyBorder="1" applyAlignment="1">
      <alignment horizontal="center" vertical="center" wrapText="1"/>
    </xf>
    <xf numFmtId="0" fontId="6" fillId="6" borderId="0" xfId="0" applyNumberFormat="1" applyFont="1" applyFill="1" applyBorder="1" applyAlignment="1">
      <alignment horizontal="center" vertical="center" wrapText="1"/>
    </xf>
    <xf numFmtId="0" fontId="6" fillId="6" borderId="34" xfId="0" applyNumberFormat="1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4"/>
  <sheetViews>
    <sheetView tabSelected="1" topLeftCell="A4" workbookViewId="0">
      <selection activeCell="N16" sqref="N16"/>
    </sheetView>
  </sheetViews>
  <sheetFormatPr baseColWidth="10" defaultRowHeight="12.75" x14ac:dyDescent="0.2"/>
  <cols>
    <col min="1" max="1" width="32.85546875" customWidth="1"/>
    <col min="2" max="2" width="22.570312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1" ht="48" customHeight="1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8" x14ac:dyDescent="0.25">
      <c r="A2" s="113" t="str">
        <f>valoración!A3</f>
        <v>PROPUESTA DE ADJUDICACIÓN DEL EXPEDIENTE S-06913-2022</v>
      </c>
      <c r="B2" s="113"/>
      <c r="C2" s="113"/>
      <c r="D2" s="113"/>
      <c r="E2" s="113"/>
      <c r="F2" s="113"/>
      <c r="G2" s="113"/>
      <c r="H2" s="113"/>
      <c r="I2" s="113"/>
      <c r="J2" s="113"/>
      <c r="K2" s="50"/>
    </row>
    <row r="3" spans="1:11" ht="18" x14ac:dyDescent="0.25">
      <c r="A3" s="113" t="str">
        <f>valoración!A4</f>
        <v>"Equipamiento de Video HD para Estación Terrena Transportable"</v>
      </c>
      <c r="B3" s="113"/>
      <c r="C3" s="113"/>
      <c r="D3" s="113"/>
      <c r="E3" s="113"/>
      <c r="F3" s="113"/>
      <c r="G3" s="113"/>
      <c r="H3" s="113"/>
      <c r="I3" s="113"/>
      <c r="J3" s="113"/>
      <c r="K3" s="50"/>
    </row>
    <row r="4" spans="1:11" ht="18" x14ac:dyDescent="0.25">
      <c r="A4" s="113" t="str">
        <f>valoración!A5</f>
        <v>RESUMEN PUNTUACIÓN TÉCNICA Y ECONÓMICA</v>
      </c>
      <c r="B4" s="113"/>
      <c r="C4" s="113"/>
      <c r="D4" s="113"/>
      <c r="E4" s="113"/>
      <c r="F4" s="113"/>
      <c r="G4" s="113"/>
      <c r="H4" s="113"/>
      <c r="I4" s="113"/>
      <c r="J4" s="113"/>
      <c r="K4" s="50"/>
    </row>
    <row r="5" spans="1:11" ht="13.5" thickBot="1" x14ac:dyDescent="0.2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 ht="30.75" customHeight="1" thickBot="1" x14ac:dyDescent="0.25">
      <c r="A6" s="50"/>
      <c r="B6" s="50"/>
      <c r="C6" s="50"/>
      <c r="D6" s="50"/>
      <c r="E6" s="107" t="s">
        <v>14</v>
      </c>
      <c r="F6" s="108"/>
      <c r="G6" s="108"/>
      <c r="H6" s="108"/>
      <c r="I6" s="108"/>
      <c r="J6" s="109"/>
      <c r="K6" s="50"/>
    </row>
    <row r="7" spans="1:11" ht="30.75" thickBot="1" x14ac:dyDescent="0.25">
      <c r="A7" s="15" t="s">
        <v>4</v>
      </c>
      <c r="B7" s="16" t="s">
        <v>5</v>
      </c>
      <c r="C7" s="17" t="s">
        <v>39</v>
      </c>
      <c r="D7" s="18" t="s">
        <v>0</v>
      </c>
      <c r="E7" s="16" t="s">
        <v>38</v>
      </c>
      <c r="F7" s="17" t="s">
        <v>1</v>
      </c>
      <c r="G7" s="17" t="s">
        <v>16</v>
      </c>
      <c r="H7" s="17" t="s">
        <v>9</v>
      </c>
      <c r="I7" s="17" t="s">
        <v>10</v>
      </c>
      <c r="J7" s="18" t="s">
        <v>11</v>
      </c>
      <c r="K7" s="17" t="s">
        <v>18</v>
      </c>
    </row>
    <row r="8" spans="1:11" ht="35.1" customHeight="1" thickBot="1" x14ac:dyDescent="0.25">
      <c r="A8" s="66" t="s">
        <v>21</v>
      </c>
      <c r="B8" s="80" t="s">
        <v>23</v>
      </c>
      <c r="C8" s="19">
        <v>108000</v>
      </c>
      <c r="D8" s="20">
        <v>17</v>
      </c>
      <c r="E8" s="21">
        <v>107849.3</v>
      </c>
      <c r="F8" s="22">
        <v>80</v>
      </c>
      <c r="G8" s="51">
        <v>97</v>
      </c>
      <c r="H8" s="52">
        <v>1</v>
      </c>
      <c r="I8" s="53">
        <v>0.51898125901009129</v>
      </c>
      <c r="J8" s="54">
        <v>50.341182123978854</v>
      </c>
      <c r="K8" s="98">
        <f>100-($E8*100/$C8)</f>
        <v>0.13953703703703013</v>
      </c>
    </row>
    <row r="9" spans="1:11" ht="35.1" customHeight="1" thickBot="1" x14ac:dyDescent="0.25">
      <c r="A9" s="66" t="s">
        <v>32</v>
      </c>
      <c r="B9" s="80" t="s">
        <v>24</v>
      </c>
      <c r="C9" s="19">
        <v>47600</v>
      </c>
      <c r="D9" s="20">
        <v>7</v>
      </c>
      <c r="E9" s="21">
        <v>46278</v>
      </c>
      <c r="F9" s="22">
        <v>80</v>
      </c>
      <c r="G9" s="55">
        <v>87</v>
      </c>
      <c r="H9" s="93">
        <v>1</v>
      </c>
      <c r="I9" s="56">
        <v>0.22873618452666988</v>
      </c>
      <c r="J9" s="57">
        <v>19.900048053820282</v>
      </c>
      <c r="K9" s="58">
        <f>100-($E9*100/$C9)</f>
        <v>2.7773109243697434</v>
      </c>
    </row>
    <row r="10" spans="1:11" ht="35.1" customHeight="1" thickBot="1" x14ac:dyDescent="0.25">
      <c r="A10" s="66" t="s">
        <v>40</v>
      </c>
      <c r="B10" s="104" t="s">
        <v>22</v>
      </c>
      <c r="C10" s="105"/>
      <c r="D10" s="105"/>
      <c r="E10" s="105"/>
      <c r="F10" s="105"/>
      <c r="G10" s="105"/>
      <c r="H10" s="105"/>
      <c r="I10" s="105"/>
      <c r="J10" s="105"/>
      <c r="K10" s="106"/>
    </row>
    <row r="11" spans="1:11" ht="35.1" customHeight="1" thickBot="1" x14ac:dyDescent="0.25">
      <c r="A11" s="66" t="s">
        <v>33</v>
      </c>
      <c r="B11" s="94" t="s">
        <v>25</v>
      </c>
      <c r="C11" s="67">
        <v>8000</v>
      </c>
      <c r="D11" s="68">
        <v>18</v>
      </c>
      <c r="E11" s="95">
        <v>6025</v>
      </c>
      <c r="F11" s="87">
        <v>80</v>
      </c>
      <c r="G11" s="87">
        <v>98</v>
      </c>
      <c r="H11" s="92">
        <v>1</v>
      </c>
      <c r="I11" s="88">
        <v>3.8443056222969729E-2</v>
      </c>
      <c r="J11" s="96">
        <v>3.7674195098510337</v>
      </c>
      <c r="K11" s="97">
        <f t="shared" ref="K11:K17" si="0">100-($E11*100/$C11)</f>
        <v>24.6875</v>
      </c>
    </row>
    <row r="12" spans="1:11" ht="35.1" customHeight="1" thickBot="1" x14ac:dyDescent="0.25">
      <c r="A12" s="66" t="s">
        <v>34</v>
      </c>
      <c r="B12" s="80" t="s">
        <v>26</v>
      </c>
      <c r="C12" s="19">
        <v>15000</v>
      </c>
      <c r="D12" s="20">
        <v>14</v>
      </c>
      <c r="E12" s="21">
        <v>13054.18</v>
      </c>
      <c r="F12" s="55">
        <v>80</v>
      </c>
      <c r="G12" s="55">
        <v>94</v>
      </c>
      <c r="H12" s="61">
        <v>1</v>
      </c>
      <c r="I12" s="56">
        <v>7.2080730418068242E-2</v>
      </c>
      <c r="J12" s="57">
        <v>6.7755886592984149</v>
      </c>
      <c r="K12" s="58">
        <f t="shared" si="0"/>
        <v>12.972133333333332</v>
      </c>
    </row>
    <row r="13" spans="1:11" ht="35.1" customHeight="1" thickBot="1" x14ac:dyDescent="0.25">
      <c r="A13" s="66" t="s">
        <v>35</v>
      </c>
      <c r="B13" s="80" t="s">
        <v>43</v>
      </c>
      <c r="C13" s="19">
        <v>8000</v>
      </c>
      <c r="D13" s="20">
        <v>17</v>
      </c>
      <c r="E13" s="21">
        <v>7791.02</v>
      </c>
      <c r="F13" s="60">
        <v>80</v>
      </c>
      <c r="G13" s="60">
        <v>97</v>
      </c>
      <c r="H13" s="61">
        <v>1</v>
      </c>
      <c r="I13" s="62">
        <v>3.8443056222969729E-2</v>
      </c>
      <c r="J13" s="63">
        <v>3.7289764536280638</v>
      </c>
      <c r="K13" s="58">
        <f t="shared" si="0"/>
        <v>2.6122500000000031</v>
      </c>
    </row>
    <row r="14" spans="1:11" ht="35.1" customHeight="1" x14ac:dyDescent="0.2">
      <c r="A14" s="110" t="s">
        <v>36</v>
      </c>
      <c r="B14" s="80" t="s">
        <v>43</v>
      </c>
      <c r="C14" s="19">
        <v>8500</v>
      </c>
      <c r="D14" s="71">
        <v>18</v>
      </c>
      <c r="E14" s="43">
        <v>8453.51</v>
      </c>
      <c r="F14" s="51">
        <v>70.957103357472008</v>
      </c>
      <c r="G14" s="51">
        <v>88.957103357472008</v>
      </c>
      <c r="H14" s="59"/>
      <c r="I14" s="53"/>
      <c r="J14" s="54"/>
      <c r="K14" s="58"/>
    </row>
    <row r="15" spans="1:11" ht="35.1" customHeight="1" x14ac:dyDescent="0.2">
      <c r="A15" s="111"/>
      <c r="B15" s="81" t="s">
        <v>27</v>
      </c>
      <c r="C15" s="24">
        <v>8500</v>
      </c>
      <c r="D15" s="72">
        <v>14</v>
      </c>
      <c r="E15" s="45">
        <v>8194.2199999999993</v>
      </c>
      <c r="F15" s="55">
        <v>73.688268597761692</v>
      </c>
      <c r="G15" s="55">
        <v>87.688268597761692</v>
      </c>
      <c r="H15" s="64"/>
      <c r="I15" s="56"/>
      <c r="J15" s="57"/>
      <c r="K15" s="58"/>
    </row>
    <row r="16" spans="1:11" ht="35.1" customHeight="1" thickBot="1" x14ac:dyDescent="0.25">
      <c r="A16" s="112"/>
      <c r="B16" s="100" t="s">
        <v>28</v>
      </c>
      <c r="C16" s="101">
        <v>8500</v>
      </c>
      <c r="D16" s="102">
        <v>17</v>
      </c>
      <c r="E16" s="103">
        <v>7595</v>
      </c>
      <c r="F16" s="99">
        <v>80</v>
      </c>
      <c r="G16" s="99">
        <v>97</v>
      </c>
      <c r="H16" s="92">
        <v>1</v>
      </c>
      <c r="I16" s="62">
        <v>4.0845747236905337E-2</v>
      </c>
      <c r="J16" s="63">
        <v>3.9620374819798179</v>
      </c>
      <c r="K16" s="58">
        <f t="shared" si="0"/>
        <v>10.647058823529406</v>
      </c>
    </row>
    <row r="17" spans="1:19" ht="26.25" thickBot="1" x14ac:dyDescent="0.25">
      <c r="A17" s="70" t="s">
        <v>37</v>
      </c>
      <c r="B17" s="80" t="s">
        <v>29</v>
      </c>
      <c r="C17" s="19">
        <v>13000</v>
      </c>
      <c r="D17" s="73">
        <v>0</v>
      </c>
      <c r="E17" s="89">
        <v>11290.23</v>
      </c>
      <c r="F17" s="90">
        <v>80</v>
      </c>
      <c r="G17" s="90">
        <v>80</v>
      </c>
      <c r="H17" s="61">
        <v>1</v>
      </c>
      <c r="I17" s="56">
        <v>6.2469966362325803E-2</v>
      </c>
      <c r="J17" s="91">
        <v>4.9975973089860641</v>
      </c>
      <c r="K17" s="58">
        <f t="shared" si="0"/>
        <v>13.152076923076919</v>
      </c>
    </row>
    <row r="18" spans="1:19" s="10" customFormat="1" ht="42.75" customHeight="1" thickBot="1" x14ac:dyDescent="0.25">
      <c r="A18" s="9"/>
      <c r="B18" s="37" t="s">
        <v>12</v>
      </c>
      <c r="C18" s="38">
        <f>C8+C9+C11+C12+C13+C14+C17</f>
        <v>208100</v>
      </c>
      <c r="D18" s="74"/>
      <c r="I18" s="83" t="s">
        <v>13</v>
      </c>
      <c r="J18" s="84">
        <f>SUM(J8:J17)</f>
        <v>93.472849591542541</v>
      </c>
      <c r="P18"/>
      <c r="Q18"/>
      <c r="R18"/>
      <c r="S18"/>
    </row>
    <row r="22" spans="1:19" ht="14.25" x14ac:dyDescent="0.2">
      <c r="A22" s="65" t="s">
        <v>2</v>
      </c>
      <c r="B22" s="50"/>
      <c r="C22" s="50"/>
      <c r="D22" s="50"/>
      <c r="E22" s="50"/>
    </row>
    <row r="23" spans="1:19" ht="14.25" x14ac:dyDescent="0.2">
      <c r="A23" s="65" t="s">
        <v>41</v>
      </c>
      <c r="B23" s="50"/>
      <c r="C23" s="50"/>
      <c r="D23" s="50"/>
      <c r="E23" s="50"/>
    </row>
    <row r="24" spans="1:19" x14ac:dyDescent="0.2">
      <c r="A24" s="50"/>
      <c r="B24" s="50"/>
      <c r="C24" s="50"/>
      <c r="D24" s="50"/>
      <c r="E24" s="50"/>
    </row>
  </sheetData>
  <mergeCells count="6">
    <mergeCell ref="B10:K10"/>
    <mergeCell ref="E6:J6"/>
    <mergeCell ref="A14:A16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5"/>
  <sheetViews>
    <sheetView showGridLines="0" showZeros="0" zoomScale="90" zoomScaleNormal="90" workbookViewId="0">
      <selection activeCell="L14" sqref="L14"/>
    </sheetView>
  </sheetViews>
  <sheetFormatPr baseColWidth="10" defaultColWidth="11.42578125" defaultRowHeight="15" x14ac:dyDescent="0.2"/>
  <cols>
    <col min="1" max="1" width="35.140625" style="9" customWidth="1"/>
    <col min="2" max="2" width="30.28515625" style="10" customWidth="1"/>
    <col min="3" max="3" width="23.57031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6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80</v>
      </c>
    </row>
    <row r="3" spans="1:21" s="3" customFormat="1" ht="22.5" customHeight="1" x14ac:dyDescent="0.15">
      <c r="A3" s="121" t="s">
        <v>19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T3" s="27" t="s">
        <v>8</v>
      </c>
    </row>
    <row r="4" spans="1:21" s="3" customFormat="1" ht="22.5" customHeight="1" x14ac:dyDescent="0.15">
      <c r="A4" s="121" t="s">
        <v>20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</row>
    <row r="5" spans="1:21" s="3" customFormat="1" ht="24.6" customHeight="1" x14ac:dyDescent="0.15">
      <c r="A5" s="121" t="s">
        <v>3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</row>
    <row r="6" spans="1:21" s="3" customFormat="1" ht="24.6" customHeight="1" thickBot="1" x14ac:dyDescent="0.2">
      <c r="A6" s="26"/>
      <c r="B6" s="26"/>
      <c r="C6" s="26"/>
      <c r="D6" s="26"/>
      <c r="E6" s="26"/>
      <c r="F6" s="26"/>
      <c r="G6" s="26"/>
      <c r="H6" s="4"/>
    </row>
    <row r="7" spans="1:21" s="3" customFormat="1" ht="24.75" customHeight="1" thickBot="1" x14ac:dyDescent="0.3">
      <c r="A7" s="2"/>
      <c r="B7" s="6"/>
      <c r="C7" s="7"/>
      <c r="D7" s="7"/>
      <c r="E7" s="115" t="s">
        <v>14</v>
      </c>
      <c r="F7" s="116"/>
      <c r="G7" s="116"/>
      <c r="H7" s="116"/>
      <c r="I7" s="116"/>
      <c r="J7" s="117"/>
      <c r="K7" s="118" t="s">
        <v>42</v>
      </c>
      <c r="L7" s="119"/>
      <c r="M7" s="119"/>
      <c r="N7" s="119"/>
      <c r="O7" s="119"/>
      <c r="P7" s="119"/>
      <c r="Q7" s="120"/>
    </row>
    <row r="8" spans="1:21" s="8" customFormat="1" ht="30.75" thickBot="1" x14ac:dyDescent="0.25">
      <c r="A8" s="15" t="s">
        <v>4</v>
      </c>
      <c r="B8" s="16" t="s">
        <v>5</v>
      </c>
      <c r="C8" s="17" t="s">
        <v>30</v>
      </c>
      <c r="D8" s="18" t="s">
        <v>0</v>
      </c>
      <c r="E8" s="16" t="s">
        <v>31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31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1" s="3" customFormat="1" ht="53.25" customHeight="1" thickBot="1" x14ac:dyDescent="0.2">
      <c r="A9" s="66" t="s">
        <v>21</v>
      </c>
      <c r="B9" s="80" t="s">
        <v>23</v>
      </c>
      <c r="C9" s="19">
        <v>108000</v>
      </c>
      <c r="D9" s="20">
        <v>17</v>
      </c>
      <c r="E9" s="21">
        <v>107849.3</v>
      </c>
      <c r="F9" s="22">
        <f>$U$2*(2-E9/MIN(E$9:E$9))</f>
        <v>80</v>
      </c>
      <c r="G9" s="22">
        <f>D9+F9</f>
        <v>97</v>
      </c>
      <c r="H9" s="39">
        <v>1</v>
      </c>
      <c r="I9" s="29">
        <f>+$C9/$C$19*H9</f>
        <v>0.51898125901009129</v>
      </c>
      <c r="J9" s="30">
        <f t="shared" ref="J9:J10" si="0">+G9*I9</f>
        <v>50.341182123978854</v>
      </c>
      <c r="K9" s="42"/>
      <c r="L9" s="21">
        <v>107849.3</v>
      </c>
      <c r="M9" s="51">
        <f>$U$2*(2-L9/MIN(L$9:L$9))</f>
        <v>80</v>
      </c>
      <c r="N9" s="51">
        <f>$D9+M9</f>
        <v>97</v>
      </c>
      <c r="O9" s="31">
        <v>1</v>
      </c>
      <c r="P9" s="29">
        <f>+$C9/$C$19*O9</f>
        <v>0.51898125901009129</v>
      </c>
      <c r="Q9" s="30">
        <f>+N9*P9</f>
        <v>50.341182123978854</v>
      </c>
    </row>
    <row r="10" spans="1:21" s="3" customFormat="1" ht="35.1" customHeight="1" thickBot="1" x14ac:dyDescent="0.2">
      <c r="A10" s="66" t="s">
        <v>44</v>
      </c>
      <c r="B10" s="80" t="s">
        <v>24</v>
      </c>
      <c r="C10" s="19">
        <v>47600</v>
      </c>
      <c r="D10" s="20">
        <v>7</v>
      </c>
      <c r="E10" s="21">
        <v>46278</v>
      </c>
      <c r="F10" s="22">
        <f>$U$2*(2-E10/MIN(E$10:E$10))</f>
        <v>80</v>
      </c>
      <c r="G10" s="22">
        <f t="shared" ref="G10" si="1">D10+F10</f>
        <v>87</v>
      </c>
      <c r="H10" s="39">
        <v>1</v>
      </c>
      <c r="I10" s="29">
        <f>+$C10/$C$19*H10</f>
        <v>0.22873618452666988</v>
      </c>
      <c r="J10" s="30">
        <f t="shared" si="0"/>
        <v>19.900048053820282</v>
      </c>
      <c r="K10" s="42"/>
      <c r="L10" s="21">
        <v>46278</v>
      </c>
      <c r="M10" s="22">
        <f>$U$2*(2-L10/MIN(L$10:L$10))</f>
        <v>80</v>
      </c>
      <c r="N10" s="22">
        <f>$D10+M10</f>
        <v>87</v>
      </c>
      <c r="O10" s="31">
        <v>1</v>
      </c>
      <c r="P10" s="29">
        <f>+$C10/$C$19*O10</f>
        <v>0.22873618452666988</v>
      </c>
      <c r="Q10" s="30">
        <f t="shared" ref="Q10" si="2">+N10*P10</f>
        <v>19.900048053820282</v>
      </c>
    </row>
    <row r="11" spans="1:21" s="3" customFormat="1" ht="35.1" customHeight="1" thickBot="1" x14ac:dyDescent="0.2">
      <c r="A11" s="66" t="s">
        <v>45</v>
      </c>
      <c r="B11" s="122" t="s">
        <v>22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4"/>
    </row>
    <row r="12" spans="1:21" s="3" customFormat="1" ht="35.1" customHeight="1" thickBot="1" x14ac:dyDescent="0.2">
      <c r="A12" s="66" t="s">
        <v>33</v>
      </c>
      <c r="B12" s="80" t="s">
        <v>25</v>
      </c>
      <c r="C12" s="19">
        <v>8000</v>
      </c>
      <c r="D12" s="20">
        <v>18</v>
      </c>
      <c r="E12" s="21">
        <v>6025</v>
      </c>
      <c r="F12" s="22">
        <f>$U$2*(2-E12/MIN(E$12))</f>
        <v>80</v>
      </c>
      <c r="G12" s="49">
        <f t="shared" ref="G12" si="3">D12+F12</f>
        <v>98</v>
      </c>
      <c r="H12" s="39">
        <v>1</v>
      </c>
      <c r="I12" s="29">
        <f t="shared" ref="I12:I18" si="4">+$C12/$C$19*H12</f>
        <v>3.8443056222969729E-2</v>
      </c>
      <c r="J12" s="30">
        <f t="shared" ref="J12" si="5">+G12*I12</f>
        <v>3.7674195098510337</v>
      </c>
      <c r="K12" s="42"/>
      <c r="L12" s="21">
        <v>6025</v>
      </c>
      <c r="M12" s="22">
        <f>$U$2*(2-L12/MIN(L$12))</f>
        <v>80</v>
      </c>
      <c r="N12" s="22">
        <f t="shared" ref="N12" si="6">$D12+M12</f>
        <v>98</v>
      </c>
      <c r="O12" s="31">
        <v>1</v>
      </c>
      <c r="P12" s="29">
        <f>+$C12/$C$19*O12</f>
        <v>3.8443056222969729E-2</v>
      </c>
      <c r="Q12" s="30">
        <f t="shared" ref="Q12" si="7">+N12*P12</f>
        <v>3.7674195098510337</v>
      </c>
    </row>
    <row r="13" spans="1:21" s="3" customFormat="1" ht="35.1" customHeight="1" thickBot="1" x14ac:dyDescent="0.2">
      <c r="A13" s="66" t="s">
        <v>34</v>
      </c>
      <c r="B13" s="80" t="s">
        <v>26</v>
      </c>
      <c r="C13" s="19">
        <v>15000</v>
      </c>
      <c r="D13" s="20">
        <v>14</v>
      </c>
      <c r="E13" s="21">
        <v>13054.18</v>
      </c>
      <c r="F13" s="22">
        <f>$U$2*(2-E13/MIN(E$13))</f>
        <v>80</v>
      </c>
      <c r="G13" s="49">
        <f t="shared" ref="G13" si="8">D13+F13</f>
        <v>94</v>
      </c>
      <c r="H13" s="39">
        <v>1</v>
      </c>
      <c r="I13" s="29">
        <f t="shared" si="4"/>
        <v>7.2080730418068242E-2</v>
      </c>
      <c r="J13" s="30">
        <f t="shared" ref="J13" si="9">+G13*I13</f>
        <v>6.7755886592984149</v>
      </c>
      <c r="K13" s="42"/>
      <c r="L13" s="21">
        <v>13054.18</v>
      </c>
      <c r="M13" s="22">
        <f>$U$2*(2-L13/MIN(L$13))</f>
        <v>80</v>
      </c>
      <c r="N13" s="22">
        <f t="shared" ref="N13" si="10">$D13+M13</f>
        <v>94</v>
      </c>
      <c r="O13" s="31">
        <v>1</v>
      </c>
      <c r="P13" s="29">
        <f>+$C13/$C$19*O13</f>
        <v>7.2080730418068242E-2</v>
      </c>
      <c r="Q13" s="30">
        <f t="shared" ref="Q13" si="11">+N13*P13</f>
        <v>6.7755886592984149</v>
      </c>
    </row>
    <row r="14" spans="1:21" s="3" customFormat="1" ht="35.1" customHeight="1" thickBot="1" x14ac:dyDescent="0.2">
      <c r="A14" s="66" t="s">
        <v>35</v>
      </c>
      <c r="B14" s="80" t="s">
        <v>43</v>
      </c>
      <c r="C14" s="19">
        <v>8000</v>
      </c>
      <c r="D14" s="20">
        <v>17</v>
      </c>
      <c r="E14" s="21">
        <v>7791.02</v>
      </c>
      <c r="F14" s="22">
        <f>$U$2*(2-E14/MIN(E$14))</f>
        <v>80</v>
      </c>
      <c r="G14" s="49">
        <f t="shared" ref="G14" si="12">D14+F14</f>
        <v>97</v>
      </c>
      <c r="H14" s="39">
        <v>1</v>
      </c>
      <c r="I14" s="29">
        <f t="shared" si="4"/>
        <v>3.8443056222969729E-2</v>
      </c>
      <c r="J14" s="30">
        <f>+G14*I14</f>
        <v>3.7289764536280638</v>
      </c>
      <c r="K14" s="77">
        <v>1E-3</v>
      </c>
      <c r="L14" s="21">
        <f>+$E14*(1-K14)</f>
        <v>7783.2289800000008</v>
      </c>
      <c r="M14" s="22">
        <f>$U$2*(2-L14/MIN(L$13:L$14))</f>
        <v>80</v>
      </c>
      <c r="N14" s="22">
        <f t="shared" ref="N14" si="13">$D14+M14</f>
        <v>97</v>
      </c>
      <c r="O14" s="31">
        <v>1</v>
      </c>
      <c r="P14" s="29">
        <f>+$C14/$C$19*O14</f>
        <v>3.8443056222969729E-2</v>
      </c>
      <c r="Q14" s="30">
        <f t="shared" ref="Q14" si="14">+N14*P14</f>
        <v>3.7289764536280638</v>
      </c>
    </row>
    <row r="15" spans="1:21" s="3" customFormat="1" ht="35.1" customHeight="1" x14ac:dyDescent="0.15">
      <c r="A15" s="110" t="s">
        <v>36</v>
      </c>
      <c r="B15" s="80" t="s">
        <v>43</v>
      </c>
      <c r="C15" s="19">
        <v>8500</v>
      </c>
      <c r="D15" s="71">
        <v>18</v>
      </c>
      <c r="E15" s="43">
        <v>8453.51</v>
      </c>
      <c r="F15" s="22">
        <f>$U$2*(2-E15/MIN(E$15:E$17))</f>
        <v>70.957103357472008</v>
      </c>
      <c r="G15" s="22">
        <f>D15+F15</f>
        <v>88.957103357472008</v>
      </c>
      <c r="H15" s="28"/>
      <c r="I15" s="29">
        <f t="shared" si="4"/>
        <v>0</v>
      </c>
      <c r="J15" s="30">
        <f t="shared" ref="J15:J17" si="15">+G15*I15</f>
        <v>0</v>
      </c>
      <c r="K15" s="78">
        <v>5.2499999999999998E-2</v>
      </c>
      <c r="L15" s="43">
        <f>+$E15*(1-K15)</f>
        <v>8009.7007250000006</v>
      </c>
      <c r="M15" s="22">
        <f>$U$2*(2-L15/MIN(L$15:L$17))</f>
        <v>75.631855431204741</v>
      </c>
      <c r="N15" s="22">
        <f t="shared" ref="N15:N17" si="16">$D15+M15</f>
        <v>93.631855431204741</v>
      </c>
      <c r="O15" s="31">
        <v>1</v>
      </c>
      <c r="P15" s="29">
        <f>+$C15/$C$19*O15</f>
        <v>4.0845747236905337E-2</v>
      </c>
      <c r="Q15" s="30">
        <f t="shared" ref="Q15:Q17" si="17">+N15*P15</f>
        <v>3.8244631002654512</v>
      </c>
    </row>
    <row r="16" spans="1:21" s="3" customFormat="1" ht="35.1" customHeight="1" x14ac:dyDescent="0.15">
      <c r="A16" s="111"/>
      <c r="B16" s="81" t="s">
        <v>27</v>
      </c>
      <c r="C16" s="24">
        <v>8500</v>
      </c>
      <c r="D16" s="72">
        <v>14</v>
      </c>
      <c r="E16" s="45">
        <v>8194.2199999999993</v>
      </c>
      <c r="F16" s="25">
        <f>$U$2*(2-E16/MIN(E$15:E$17))</f>
        <v>73.688268597761692</v>
      </c>
      <c r="G16" s="55">
        <f>D16+F16</f>
        <v>87.688268597761692</v>
      </c>
      <c r="H16" s="75"/>
      <c r="I16" s="32">
        <f t="shared" si="4"/>
        <v>0</v>
      </c>
      <c r="J16" s="33">
        <f t="shared" si="15"/>
        <v>0</v>
      </c>
      <c r="K16" s="44"/>
      <c r="L16" s="45">
        <v>8194.2199999999993</v>
      </c>
      <c r="M16" s="25">
        <f t="shared" ref="M16:M17" si="18">$U$2*(2-L16/MIN(L$15:L$17))</f>
        <v>73.688268597761692</v>
      </c>
      <c r="N16" s="55">
        <f t="shared" si="16"/>
        <v>87.688268597761692</v>
      </c>
      <c r="O16" s="31"/>
      <c r="P16" s="32"/>
      <c r="Q16" s="33"/>
    </row>
    <row r="17" spans="1:20" s="3" customFormat="1" ht="35.1" customHeight="1" thickBot="1" x14ac:dyDescent="0.2">
      <c r="A17" s="112"/>
      <c r="B17" s="82" t="s">
        <v>28</v>
      </c>
      <c r="C17" s="67">
        <v>8500</v>
      </c>
      <c r="D17" s="73">
        <v>17</v>
      </c>
      <c r="E17" s="46">
        <v>7595</v>
      </c>
      <c r="F17" s="69">
        <f>$U$2*(2-E17/MIN(E$15:E$17))</f>
        <v>80</v>
      </c>
      <c r="G17" s="85">
        <f>D17+F17</f>
        <v>97</v>
      </c>
      <c r="H17" s="34">
        <v>1</v>
      </c>
      <c r="I17" s="35">
        <f t="shared" si="4"/>
        <v>4.0845747236905337E-2</v>
      </c>
      <c r="J17" s="36">
        <f t="shared" si="15"/>
        <v>3.9620374819798179</v>
      </c>
      <c r="K17" s="41"/>
      <c r="L17" s="46">
        <v>7595</v>
      </c>
      <c r="M17" s="23">
        <f t="shared" si="18"/>
        <v>80</v>
      </c>
      <c r="N17" s="23">
        <f t="shared" si="16"/>
        <v>97</v>
      </c>
      <c r="O17" s="40"/>
      <c r="P17" s="35">
        <f>+$C17/$C$19*O17</f>
        <v>0</v>
      </c>
      <c r="Q17" s="36">
        <f t="shared" si="17"/>
        <v>0</v>
      </c>
      <c r="S17" s="86"/>
    </row>
    <row r="18" spans="1:20" s="3" customFormat="1" ht="35.1" customHeight="1" thickBot="1" x14ac:dyDescent="0.2">
      <c r="A18" s="70" t="s">
        <v>37</v>
      </c>
      <c r="B18" s="80" t="s">
        <v>29</v>
      </c>
      <c r="C18" s="19">
        <v>13000</v>
      </c>
      <c r="D18" s="20">
        <v>0</v>
      </c>
      <c r="E18" s="21">
        <v>11290.23</v>
      </c>
      <c r="F18" s="22">
        <f>$U$2*(2-E18/MIN(E$18))</f>
        <v>80</v>
      </c>
      <c r="G18" s="22">
        <f t="shared" ref="G18" si="19">D18+F18</f>
        <v>80</v>
      </c>
      <c r="H18" s="76">
        <v>1</v>
      </c>
      <c r="I18" s="29">
        <f t="shared" si="4"/>
        <v>6.2469966362325803E-2</v>
      </c>
      <c r="J18" s="30">
        <f t="shared" ref="J18" si="20">+G18*I18</f>
        <v>4.9975973089860641</v>
      </c>
      <c r="K18" s="42"/>
      <c r="L18" s="21">
        <v>11290.23</v>
      </c>
      <c r="M18" s="79">
        <f>$U$2*(2-L18/MIN(L$18))</f>
        <v>80</v>
      </c>
      <c r="N18" s="22">
        <f t="shared" ref="N18" si="21">$D18+M18</f>
        <v>80</v>
      </c>
      <c r="O18" s="31">
        <v>1</v>
      </c>
      <c r="P18" s="29">
        <f>+$C18/$C$19*O18</f>
        <v>6.2469966362325803E-2</v>
      </c>
      <c r="Q18" s="30">
        <f t="shared" ref="Q18" si="22">+N18*P18</f>
        <v>4.9975973089860641</v>
      </c>
      <c r="T18" s="86"/>
    </row>
    <row r="19" spans="1:20" ht="42.75" customHeight="1" thickBot="1" x14ac:dyDescent="0.25">
      <c r="B19" s="37" t="s">
        <v>12</v>
      </c>
      <c r="C19" s="38">
        <f>C9+C10+C12+C13+C14+C15+C18</f>
        <v>208100</v>
      </c>
      <c r="D19" s="74"/>
      <c r="E19" s="74"/>
      <c r="I19" s="83" t="s">
        <v>13</v>
      </c>
      <c r="J19" s="84">
        <f>SUM(J9:J18)</f>
        <v>93.472849591542541</v>
      </c>
      <c r="P19" s="47" t="s">
        <v>13</v>
      </c>
      <c r="Q19" s="48">
        <f>SUM(Q9:Q18)</f>
        <v>93.335275209828168</v>
      </c>
    </row>
    <row r="22" spans="1:20" ht="14.25" x14ac:dyDescent="0.2">
      <c r="A22" s="1" t="s">
        <v>2</v>
      </c>
    </row>
    <row r="23" spans="1:20" ht="14.25" x14ac:dyDescent="0.2">
      <c r="A23" s="1" t="s">
        <v>41</v>
      </c>
    </row>
    <row r="25" spans="1:20" ht="56.25" customHeight="1" x14ac:dyDescent="0.2">
      <c r="A25" s="114"/>
      <c r="B25" s="114"/>
      <c r="C25" s="114"/>
      <c r="D25" s="114"/>
      <c r="E25" s="114"/>
      <c r="F25" s="114"/>
      <c r="G25" s="114"/>
    </row>
  </sheetData>
  <mergeCells count="8">
    <mergeCell ref="A25:G25"/>
    <mergeCell ref="E7:J7"/>
    <mergeCell ref="K7:Q7"/>
    <mergeCell ref="A3:Q3"/>
    <mergeCell ref="A4:Q4"/>
    <mergeCell ref="A5:Q5"/>
    <mergeCell ref="A15:A17"/>
    <mergeCell ref="B11:Q11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2023-01-12T10:36:28Z</dcterms:modified>
</cp:coreProperties>
</file>