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TECNOLOGÍA, INTERACTIVOS Y SISTEMAS\EXPEDIENTES\2022\EXPEDIENTES COMITE\3.- INFORME TÉCNICO\S-07422-2022 SOPORTE Y MANTENIMIENTO LEGACY pte.inf\INFORMES\"/>
    </mc:Choice>
  </mc:AlternateContent>
  <bookViews>
    <workbookView xWindow="0" yWindow="0" windowWidth="28800" windowHeight="11400" tabRatio="752"/>
  </bookViews>
  <sheets>
    <sheet name="ALTERNATIVA ADJUDICADA" sheetId="6" r:id="rId1"/>
    <sheet name="valoración" sheetId="5" r:id="rId2"/>
    <sheet name="valoración (2)" sheetId="7" r:id="rId3"/>
  </sheets>
  <definedNames>
    <definedName name="_xlnm.Print_Area" localSheetId="0">'ALTERNATIVA ADJUDICADA'!$A$1:$K$22</definedName>
    <definedName name="_xlnm.Print_Area" localSheetId="1">valoración!$A$2:$X$22</definedName>
    <definedName name="_xlnm.Print_Area" localSheetId="2">'valoración (2)'!$A$2:$X$22</definedName>
  </definedNames>
  <calcPr calcId="162913"/>
</workbook>
</file>

<file path=xl/calcChain.xml><?xml version="1.0" encoding="utf-8"?>
<calcChain xmlns="http://schemas.openxmlformats.org/spreadsheetml/2006/main">
  <c r="C18" i="7" l="1"/>
  <c r="W16" i="7" s="1"/>
  <c r="U17" i="7"/>
  <c r="T16" i="7"/>
  <c r="U16" i="7" s="1"/>
  <c r="X16" i="7" s="1"/>
  <c r="S16" i="7"/>
  <c r="L16" i="7"/>
  <c r="M16" i="7" s="1"/>
  <c r="N16" i="7" s="1"/>
  <c r="F16" i="7"/>
  <c r="G16" i="7" s="1"/>
  <c r="T15" i="7"/>
  <c r="U15" i="7" s="1"/>
  <c r="S15" i="7"/>
  <c r="P15" i="7"/>
  <c r="N15" i="7"/>
  <c r="Q15" i="7" s="1"/>
  <c r="M15" i="7"/>
  <c r="L15" i="7"/>
  <c r="I15" i="7"/>
  <c r="F15" i="7"/>
  <c r="G15" i="7" s="1"/>
  <c r="J15" i="7" s="1"/>
  <c r="W10" i="7"/>
  <c r="T10" i="7"/>
  <c r="U10" i="7" s="1"/>
  <c r="X10" i="7" s="1"/>
  <c r="S10" i="7"/>
  <c r="P10" i="7"/>
  <c r="L10" i="7"/>
  <c r="M10" i="7" s="1"/>
  <c r="N10" i="7" s="1"/>
  <c r="Q10" i="7" s="1"/>
  <c r="F10" i="7"/>
  <c r="G10" i="7" s="1"/>
  <c r="T9" i="7"/>
  <c r="U9" i="7" s="1"/>
  <c r="S9" i="7"/>
  <c r="P9" i="7"/>
  <c r="L9" i="7"/>
  <c r="M9" i="7" s="1"/>
  <c r="N9" i="7" s="1"/>
  <c r="Q9" i="7" s="1"/>
  <c r="Q18" i="7" s="1"/>
  <c r="I9" i="7"/>
  <c r="F9" i="7"/>
  <c r="G9" i="7" s="1"/>
  <c r="J9" i="7" s="1"/>
  <c r="W17" i="7" l="1"/>
  <c r="X17" i="7" s="1"/>
  <c r="W15" i="7"/>
  <c r="X15" i="7" s="1"/>
  <c r="I16" i="7"/>
  <c r="J16" i="7" s="1"/>
  <c r="J18" i="7" s="1"/>
  <c r="K16" i="6"/>
  <c r="K15" i="6"/>
  <c r="K10" i="6"/>
  <c r="K9" i="6"/>
  <c r="J9" i="5"/>
  <c r="I9" i="5"/>
  <c r="X18" i="7" l="1"/>
  <c r="X18" i="5"/>
  <c r="W10" i="5"/>
  <c r="P15" i="5"/>
  <c r="X10" i="5" l="1"/>
  <c r="Q15" i="5"/>
  <c r="J18" i="6" l="1"/>
  <c r="C18" i="6"/>
  <c r="F9" i="5" l="1"/>
  <c r="T10" i="5"/>
  <c r="T9" i="5"/>
  <c r="M16" i="5"/>
  <c r="M15" i="5"/>
  <c r="M10" i="5"/>
  <c r="M9" i="5"/>
  <c r="L9" i="5"/>
  <c r="C18" i="5" l="1"/>
  <c r="A4" i="6" l="1"/>
  <c r="A3" i="6"/>
  <c r="A2" i="6"/>
  <c r="S16" i="5" l="1"/>
  <c r="L16" i="5"/>
  <c r="F16" i="5"/>
  <c r="G16" i="5" s="1"/>
  <c r="S15" i="5"/>
  <c r="L15" i="5"/>
  <c r="I15" i="5"/>
  <c r="F15" i="5"/>
  <c r="G15" i="5" s="1"/>
  <c r="S10" i="5"/>
  <c r="P10" i="5"/>
  <c r="L10" i="5"/>
  <c r="F10" i="5"/>
  <c r="G10" i="5" s="1"/>
  <c r="S9" i="5"/>
  <c r="G9" i="5"/>
  <c r="T16" i="5" l="1"/>
  <c r="U16" i="5" s="1"/>
  <c r="N10" i="5"/>
  <c r="Q10" i="5" s="1"/>
  <c r="U10" i="5"/>
  <c r="N15" i="5"/>
  <c r="N16" i="5"/>
  <c r="J15" i="5"/>
  <c r="U17" i="5"/>
  <c r="T15" i="5"/>
  <c r="U15" i="5" s="1"/>
  <c r="U9" i="5"/>
  <c r="N9" i="5"/>
  <c r="W16" i="5"/>
  <c r="X16" i="5" s="1"/>
  <c r="P9" i="5"/>
  <c r="W15" i="5"/>
  <c r="I16" i="5"/>
  <c r="J16" i="5" s="1"/>
  <c r="W17" i="5"/>
  <c r="J18" i="5"/>
  <c r="X17" i="5" l="1"/>
  <c r="X15" i="5"/>
  <c r="Q9" i="5"/>
  <c r="Q18" i="5" s="1"/>
</calcChain>
</file>

<file path=xl/sharedStrings.xml><?xml version="1.0" encoding="utf-8"?>
<sst xmlns="http://schemas.openxmlformats.org/spreadsheetml/2006/main" count="130" uniqueCount="38">
  <si>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</si>
  <si>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</si>
  <si>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</si>
  <si>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</si>
  <si>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</si>
  <si>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</si>
  <si>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Madrid, a XX de XXXXXX de 20xx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</si>
  <si>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</si>
  <si>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</si>
  <si>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</si>
  <si>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</si>
  <si>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</si>
  <si>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</si>
  <si>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</si>
  <si>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</si>
  <si>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</si>
  <si>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</si>
  <si>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</si>
  <si>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r>
      <t>Importe Oferta</t>
    </r>
    <r>
      <rPr>
        <b/>
        <i/>
        <sz val="12"/>
        <rFont val="Tahoma"/>
        <family val="2"/>
      </rPr>
      <t xml:space="preserve"> (</t>
    </r>
    <r>
      <rPr>
        <sz val="12"/>
        <rFont val="Tahoma"/>
        <family val="2"/>
      </rPr>
      <t>Contrato + prorroga/s)</t>
    </r>
  </si>
  <si>
    <t>Celda contigua: incluir puntuación económica indicada en los pliegos. Si los lotes se valoran con diferente puntuación económica hay que tenerlo en cuenta en la fórmula.</t>
  </si>
  <si>
    <t>Importe Oferta (Contrato + prorroga/s)</t>
  </si>
  <si>
    <t>Puntuación total ponderada:</t>
  </si>
  <si>
    <t>%  Ahorro s/ licitación</t>
  </si>
  <si>
    <t>LOTE 1: Gestión de la integración continúa y gestón de la integración</t>
  </si>
  <si>
    <t>LOTE 2: Mantenimiento correctivo y evolutivo de desarrollos Legacy</t>
  </si>
  <si>
    <t>LOTE 3: Testing funcional de nuevos desarrollos, productos y servicios</t>
  </si>
  <si>
    <t>HIBERUS TECNOLOGÍAS DE LA INFORMACIÓN, S.L.</t>
  </si>
  <si>
    <t>MÉTODOS Y TECNOLOGÍA DE SISTEMAS Y PROCESOS, S.L.</t>
  </si>
  <si>
    <t>MEMORANDUM MULTIMEDIA, S.L.</t>
  </si>
  <si>
    <t>DESIERTO</t>
  </si>
  <si>
    <t>PROPUESTA DE ADJUDICACIÓN DEL EXPEDIENTE S-07422-2022</t>
  </si>
  <si>
    <t>"Soporte y Mantenimiento Legacy, Gestión de Integración Continua y Testing funcional"</t>
  </si>
  <si>
    <t>Alternativa 2: oferta conjunta "Hiberus" (6.5% de descuento lote 1 y 7.5% de descuento lote 3)</t>
  </si>
  <si>
    <t xml:space="preserve">Valor estimado            </t>
  </si>
  <si>
    <t xml:space="preserve">Valor estimado        </t>
  </si>
  <si>
    <t>Alternativa 2: oferta conjunta "Métodos" (1.5 % de decuento en cada lote)</t>
  </si>
  <si>
    <t>Su oferta técnica no supera el 50% de la puntuación técnica que se exige para pasar a la segunda fase (Art.9 del Anexo II del Pliego de Condiciones Generales)</t>
  </si>
  <si>
    <t>Madrid, a 23 de febrero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</si>
</sst>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</numFmts>
  <fonts count="21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i/>
      <sz val="12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58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4" fontId="6" fillId="0" borderId="16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center" vertical="center" wrapText="1"/>
    </xf>
    <xf numFmtId="4" fontId="6" fillId="0" borderId="19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43" fontId="5" fillId="0" borderId="13" xfId="2" applyFont="1" applyFill="1" applyBorder="1" applyAlignment="1">
      <alignment horizontal="center" vertical="center"/>
    </xf>
    <xf numFmtId="165" fontId="5" fillId="0" borderId="2" xfId="2" applyNumberFormat="1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43" fontId="5" fillId="0" borderId="14" xfId="2" applyFont="1" applyFill="1" applyBorder="1" applyAlignment="1">
      <alignment horizontal="center" vertical="center"/>
    </xf>
    <xf numFmtId="165" fontId="5" fillId="0" borderId="16" xfId="2" applyNumberFormat="1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43" fontId="5" fillId="0" borderId="17" xfId="2" applyFont="1" applyFill="1" applyBorder="1" applyAlignment="1">
      <alignment horizontal="center" vertical="center"/>
    </xf>
    <xf numFmtId="0" fontId="9" fillId="0" borderId="20" xfId="0" applyNumberFormat="1" applyFont="1" applyFill="1" applyBorder="1" applyAlignment="1">
      <alignment horizontal="right" vertical="center" wrapText="1"/>
    </xf>
    <xf numFmtId="166" fontId="17" fillId="0" borderId="20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1" fillId="0" borderId="16" xfId="0" applyFont="1" applyFill="1" applyBorder="1"/>
    <xf numFmtId="0" fontId="1" fillId="0" borderId="12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0" fontId="16" fillId="0" borderId="23" xfId="0" applyNumberFormat="1" applyFont="1" applyFill="1" applyBorder="1" applyAlignment="1">
      <alignment horizontal="left" vertical="top" wrapText="1"/>
    </xf>
    <xf numFmtId="43" fontId="5" fillId="0" borderId="24" xfId="2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18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6" fillId="4" borderId="7" xfId="0" applyNumberFormat="1" applyFont="1" applyFill="1" applyBorder="1" applyAlignment="1">
      <alignment horizontal="center" vertical="center" wrapText="1"/>
    </xf>
    <xf numFmtId="166" fontId="6" fillId="4" borderId="2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10" fontId="5" fillId="4" borderId="2" xfId="0" applyNumberFormat="1" applyFont="1" applyFill="1" applyBorder="1" applyAlignment="1">
      <alignment horizontal="center" vertical="center"/>
    </xf>
    <xf numFmtId="43" fontId="5" fillId="4" borderId="14" xfId="2" applyFont="1" applyFill="1" applyBorder="1" applyAlignment="1">
      <alignment horizontal="center" vertical="center"/>
    </xf>
    <xf numFmtId="0" fontId="6" fillId="4" borderId="18" xfId="0" applyNumberFormat="1" applyFont="1" applyFill="1" applyBorder="1" applyAlignment="1">
      <alignment horizontal="center" vertical="center" wrapText="1"/>
    </xf>
    <xf numFmtId="0" fontId="6" fillId="4" borderId="15" xfId="0" applyNumberFormat="1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vertical="center" wrapText="1"/>
    </xf>
    <xf numFmtId="0" fontId="9" fillId="4" borderId="20" xfId="0" applyNumberFormat="1" applyFont="1" applyFill="1" applyBorder="1" applyAlignment="1">
      <alignment horizontal="right" vertical="center" wrapText="1"/>
    </xf>
    <xf numFmtId="0" fontId="3" fillId="4" borderId="0" xfId="0" applyFont="1" applyFill="1" applyBorder="1"/>
    <xf numFmtId="0" fontId="5" fillId="4" borderId="6" xfId="0" applyFont="1" applyFill="1" applyBorder="1"/>
    <xf numFmtId="10" fontId="5" fillId="0" borderId="11" xfId="3" applyNumberFormat="1" applyFont="1" applyFill="1" applyBorder="1" applyAlignment="1">
      <alignment horizontal="center" vertical="center"/>
    </xf>
    <xf numFmtId="10" fontId="5" fillId="0" borderId="7" xfId="3" applyNumberFormat="1" applyFont="1" applyFill="1" applyBorder="1" applyAlignment="1">
      <alignment horizontal="center" vertical="center"/>
    </xf>
    <xf numFmtId="4" fontId="9" fillId="0" borderId="16" xfId="0" applyNumberFormat="1" applyFont="1" applyFill="1" applyBorder="1" applyAlignment="1">
      <alignment horizontal="right" vertical="center" indent="1"/>
    </xf>
    <xf numFmtId="166" fontId="3" fillId="0" borderId="0" xfId="0" applyNumberFormat="1" applyFont="1" applyFill="1" applyBorder="1"/>
    <xf numFmtId="4" fontId="1" fillId="4" borderId="2" xfId="0" applyNumberFormat="1" applyFont="1" applyFill="1" applyBorder="1"/>
    <xf numFmtId="4" fontId="0" fillId="0" borderId="0" xfId="0" applyNumberFormat="1"/>
    <xf numFmtId="166" fontId="4" fillId="0" borderId="0" xfId="0" applyNumberFormat="1" applyFont="1" applyFill="1" applyBorder="1" applyAlignment="1">
      <alignment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165" fontId="5" fillId="0" borderId="47" xfId="2" applyNumberFormat="1" applyFont="1" applyFill="1" applyBorder="1" applyAlignment="1">
      <alignment horizontal="center" vertical="center"/>
    </xf>
    <xf numFmtId="10" fontId="5" fillId="0" borderId="47" xfId="0" applyNumberFormat="1" applyFont="1" applyFill="1" applyBorder="1" applyAlignment="1">
      <alignment horizontal="center" vertical="center"/>
    </xf>
    <xf numFmtId="43" fontId="5" fillId="0" borderId="48" xfId="2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right" vertical="center" indent="1"/>
    </xf>
    <xf numFmtId="164" fontId="3" fillId="0" borderId="0" xfId="0" applyNumberFormat="1" applyFont="1" applyFill="1" applyBorder="1"/>
    <xf numFmtId="164" fontId="1" fillId="0" borderId="0" xfId="0" applyNumberFormat="1" applyFont="1" applyFill="1" applyBorder="1"/>
    <xf numFmtId="166" fontId="20" fillId="0" borderId="0" xfId="0" applyNumberFormat="1" applyFont="1" applyFill="1" applyBorder="1"/>
    <xf numFmtId="0" fontId="20" fillId="0" borderId="0" xfId="0" applyFont="1" applyFill="1" applyBorder="1"/>
    <xf numFmtId="0" fontId="14" fillId="0" borderId="0" xfId="0" applyFont="1" applyFill="1" applyBorder="1" applyAlignment="1">
      <alignment horizontal="center" vertical="center" wrapText="1"/>
    </xf>
    <xf numFmtId="9" fontId="5" fillId="0" borderId="49" xfId="3" applyFont="1" applyFill="1" applyBorder="1" applyAlignment="1">
      <alignment horizontal="center" vertical="center"/>
    </xf>
    <xf numFmtId="0" fontId="0" fillId="4" borderId="36" xfId="0" applyFill="1" applyBorder="1"/>
    <xf numFmtId="4" fontId="0" fillId="0" borderId="0" xfId="0" applyNumberFormat="1" applyBorder="1"/>
    <xf numFmtId="4" fontId="6" fillId="0" borderId="50" xfId="0" applyNumberFormat="1" applyFont="1" applyFill="1" applyBorder="1" applyAlignment="1">
      <alignment horizontal="center" vertical="center"/>
    </xf>
    <xf numFmtId="4" fontId="6" fillId="4" borderId="43" xfId="0" applyNumberFormat="1" applyFont="1" applyFill="1" applyBorder="1" applyAlignment="1">
      <alignment horizontal="center" vertical="center"/>
    </xf>
    <xf numFmtId="0" fontId="16" fillId="4" borderId="47" xfId="0" applyNumberFormat="1" applyFont="1" applyFill="1" applyBorder="1" applyAlignment="1">
      <alignment horizontal="right" vertical="top" wrapText="1"/>
    </xf>
    <xf numFmtId="43" fontId="5" fillId="4" borderId="47" xfId="2" applyFont="1" applyFill="1" applyBorder="1" applyAlignment="1">
      <alignment horizontal="center" vertical="center"/>
    </xf>
    <xf numFmtId="10" fontId="6" fillId="0" borderId="25" xfId="3" applyNumberFormat="1" applyFont="1" applyFill="1" applyBorder="1" applyAlignment="1">
      <alignment horizontal="center" vertical="center"/>
    </xf>
    <xf numFmtId="10" fontId="6" fillId="0" borderId="26" xfId="3" applyNumberFormat="1" applyFont="1" applyFill="1" applyBorder="1" applyAlignment="1">
      <alignment horizontal="center" vertical="center"/>
    </xf>
    <xf numFmtId="0" fontId="6" fillId="5" borderId="7" xfId="0" applyNumberFormat="1" applyFont="1" applyFill="1" applyBorder="1" applyAlignment="1">
      <alignment horizontal="center" vertical="center" wrapText="1"/>
    </xf>
    <xf numFmtId="166" fontId="6" fillId="5" borderId="12" xfId="0" applyNumberFormat="1" applyFont="1" applyFill="1" applyBorder="1" applyAlignment="1">
      <alignment horizontal="center" vertical="center"/>
    </xf>
    <xf numFmtId="4" fontId="6" fillId="5" borderId="14" xfId="0" applyNumberFormat="1" applyFont="1" applyFill="1" applyBorder="1" applyAlignment="1">
      <alignment horizontal="center" vertical="center"/>
    </xf>
    <xf numFmtId="166" fontId="6" fillId="5" borderId="2" xfId="0" applyNumberFormat="1" applyFont="1" applyFill="1" applyBorder="1" applyAlignment="1">
      <alignment horizontal="right" vertical="center" indent="1"/>
    </xf>
    <xf numFmtId="4" fontId="6" fillId="5" borderId="2" xfId="0" applyNumberFormat="1" applyFont="1" applyFill="1" applyBorder="1" applyAlignment="1">
      <alignment horizontal="right" vertical="center" indent="1"/>
    </xf>
    <xf numFmtId="165" fontId="5" fillId="5" borderId="2" xfId="2" applyNumberFormat="1" applyFont="1" applyFill="1" applyBorder="1" applyAlignment="1">
      <alignment horizontal="center" vertical="center"/>
    </xf>
    <xf numFmtId="10" fontId="5" fillId="5" borderId="2" xfId="0" applyNumberFormat="1" applyFont="1" applyFill="1" applyBorder="1" applyAlignment="1">
      <alignment horizontal="center" vertical="center"/>
    </xf>
    <xf numFmtId="43" fontId="5" fillId="5" borderId="14" xfId="2" applyFont="1" applyFill="1" applyBorder="1" applyAlignment="1">
      <alignment horizontal="center" vertical="center"/>
    </xf>
    <xf numFmtId="0" fontId="6" fillId="5" borderId="11" xfId="0" applyNumberFormat="1" applyFont="1" applyFill="1" applyBorder="1" applyAlignment="1">
      <alignment horizontal="center" vertical="center" wrapText="1"/>
    </xf>
    <xf numFmtId="4" fontId="6" fillId="5" borderId="13" xfId="0" applyNumberFormat="1" applyFont="1" applyFill="1" applyBorder="1" applyAlignment="1">
      <alignment horizontal="center" vertical="center"/>
    </xf>
    <xf numFmtId="166" fontId="6" fillId="5" borderId="12" xfId="0" applyNumberFormat="1" applyFont="1" applyFill="1" applyBorder="1" applyAlignment="1">
      <alignment horizontal="right" vertical="center" indent="1"/>
    </xf>
    <xf numFmtId="4" fontId="6" fillId="5" borderId="12" xfId="0" applyNumberFormat="1" applyFont="1" applyFill="1" applyBorder="1" applyAlignment="1">
      <alignment horizontal="right" vertical="center" indent="1"/>
    </xf>
    <xf numFmtId="165" fontId="5" fillId="5" borderId="12" xfId="2" applyNumberFormat="1" applyFont="1" applyFill="1" applyBorder="1" applyAlignment="1">
      <alignment horizontal="center" vertical="center"/>
    </xf>
    <xf numFmtId="10" fontId="5" fillId="5" borderId="12" xfId="0" applyNumberFormat="1" applyFont="1" applyFill="1" applyBorder="1" applyAlignment="1">
      <alignment horizontal="center" vertical="center"/>
    </xf>
    <xf numFmtId="43" fontId="5" fillId="5" borderId="13" xfId="2" applyFont="1" applyFill="1" applyBorder="1" applyAlignment="1">
      <alignment horizontal="center" vertical="center"/>
    </xf>
    <xf numFmtId="166" fontId="18" fillId="0" borderId="2" xfId="0" applyNumberFormat="1" applyFont="1" applyFill="1" applyBorder="1" applyAlignment="1">
      <alignment horizontal="center" vertical="center" wrapText="1"/>
    </xf>
    <xf numFmtId="0" fontId="18" fillId="0" borderId="30" xfId="0" applyNumberFormat="1" applyFont="1" applyFill="1" applyBorder="1" applyAlignment="1">
      <alignment horizontal="center" vertical="center"/>
    </xf>
    <xf numFmtId="0" fontId="18" fillId="0" borderId="31" xfId="0" applyNumberFormat="1" applyFont="1" applyFill="1" applyBorder="1" applyAlignment="1">
      <alignment horizontal="center" vertical="center"/>
    </xf>
    <xf numFmtId="0" fontId="18" fillId="0" borderId="32" xfId="0" applyNumberFormat="1" applyFont="1" applyFill="1" applyBorder="1" applyAlignment="1">
      <alignment horizontal="center" vertical="center"/>
    </xf>
    <xf numFmtId="0" fontId="18" fillId="0" borderId="33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Border="1" applyAlignment="1">
      <alignment horizontal="center" vertical="center"/>
    </xf>
    <xf numFmtId="0" fontId="18" fillId="0" borderId="34" xfId="0" applyNumberFormat="1" applyFont="1" applyFill="1" applyBorder="1" applyAlignment="1">
      <alignment horizontal="center" vertical="center"/>
    </xf>
    <xf numFmtId="0" fontId="18" fillId="0" borderId="35" xfId="0" applyNumberFormat="1" applyFont="1" applyFill="1" applyBorder="1" applyAlignment="1">
      <alignment horizontal="center" vertical="center"/>
    </xf>
    <xf numFmtId="0" fontId="18" fillId="0" borderId="36" xfId="0" applyNumberFormat="1" applyFont="1" applyFill="1" applyBorder="1" applyAlignment="1">
      <alignment horizontal="center" vertical="center"/>
    </xf>
    <xf numFmtId="0" fontId="18" fillId="0" borderId="37" xfId="0" applyNumberFormat="1" applyFont="1" applyFill="1" applyBorder="1" applyAlignment="1">
      <alignment horizontal="center" vertical="center"/>
    </xf>
    <xf numFmtId="4" fontId="6" fillId="4" borderId="44" xfId="0" applyNumberFormat="1" applyFont="1" applyFill="1" applyBorder="1" applyAlignment="1">
      <alignment horizontal="center" vertical="center"/>
    </xf>
    <xf numFmtId="4" fontId="6" fillId="4" borderId="5" xfId="0" applyNumberFormat="1" applyFont="1" applyFill="1" applyBorder="1" applyAlignment="1">
      <alignment horizontal="center" vertical="center"/>
    </xf>
    <xf numFmtId="4" fontId="6" fillId="4" borderId="45" xfId="0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/>
    </xf>
    <xf numFmtId="0" fontId="6" fillId="4" borderId="38" xfId="0" applyNumberFormat="1" applyFont="1" applyFill="1" applyBorder="1" applyAlignment="1">
      <alignment horizontal="center" vertical="center" wrapText="1"/>
    </xf>
    <xf numFmtId="0" fontId="6" fillId="4" borderId="39" xfId="0" applyNumberFormat="1" applyFont="1" applyFill="1" applyBorder="1" applyAlignment="1">
      <alignment horizontal="center" vertical="center" wrapText="1"/>
    </xf>
    <xf numFmtId="0" fontId="6" fillId="4" borderId="23" xfId="0" applyNumberFormat="1" applyFont="1" applyFill="1" applyBorder="1" applyAlignment="1">
      <alignment horizontal="center" vertical="center" wrapText="1"/>
    </xf>
    <xf numFmtId="166" fontId="6" fillId="0" borderId="40" xfId="0" applyNumberFormat="1" applyFont="1" applyFill="1" applyBorder="1" applyAlignment="1">
      <alignment horizontal="center" vertical="center"/>
    </xf>
    <xf numFmtId="166" fontId="6" fillId="0" borderId="41" xfId="0" applyNumberFormat="1" applyFont="1" applyFill="1" applyBorder="1" applyAlignment="1">
      <alignment horizontal="center" vertical="center"/>
    </xf>
    <xf numFmtId="166" fontId="6" fillId="0" borderId="42" xfId="0" applyNumberFormat="1" applyFont="1" applyFill="1" applyBorder="1" applyAlignment="1">
      <alignment horizontal="center" vertical="center"/>
    </xf>
    <xf numFmtId="166" fontId="18" fillId="0" borderId="27" xfId="0" applyNumberFormat="1" applyFont="1" applyFill="1" applyBorder="1" applyAlignment="1">
      <alignment horizontal="center" vertical="center" wrapText="1"/>
    </xf>
    <xf numFmtId="166" fontId="6" fillId="0" borderId="28" xfId="0" applyNumberFormat="1" applyFont="1" applyFill="1" applyBorder="1" applyAlignment="1">
      <alignment horizontal="center" vertical="center" wrapText="1"/>
    </xf>
    <xf numFmtId="166" fontId="6" fillId="0" borderId="2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165" fontId="18" fillId="0" borderId="4" xfId="2" applyNumberFormat="1" applyFont="1" applyFill="1" applyBorder="1" applyAlignment="1">
      <alignment horizontal="center" vertical="center"/>
    </xf>
    <xf numFmtId="165" fontId="18" fillId="0" borderId="21" xfId="2" applyNumberFormat="1" applyFont="1" applyFill="1" applyBorder="1" applyAlignment="1">
      <alignment horizontal="center" vertical="center"/>
    </xf>
    <xf numFmtId="165" fontId="18" fillId="0" borderId="22" xfId="2" applyNumberFormat="1" applyFont="1" applyFill="1" applyBorder="1" applyAlignment="1">
      <alignment horizontal="center" vertical="center"/>
    </xf>
    <xf numFmtId="9" fontId="18" fillId="0" borderId="4" xfId="3" applyFont="1" applyFill="1" applyBorder="1" applyAlignment="1">
      <alignment horizontal="center" vertical="center"/>
    </xf>
    <xf numFmtId="9" fontId="18" fillId="0" borderId="21" xfId="3" applyFont="1" applyFill="1" applyBorder="1" applyAlignment="1">
      <alignment horizontal="center" vertical="center"/>
    </xf>
    <xf numFmtId="9" fontId="18" fillId="0" borderId="22" xfId="3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6" fillId="0" borderId="31" xfId="0" applyNumberFormat="1" applyFont="1" applyFill="1" applyBorder="1" applyAlignment="1">
      <alignment horizontal="center" vertical="center"/>
    </xf>
    <xf numFmtId="0" fontId="6" fillId="0" borderId="32" xfId="0" applyNumberFormat="1" applyFont="1" applyFill="1" applyBorder="1" applyAlignment="1">
      <alignment horizontal="center" vertical="center"/>
    </xf>
    <xf numFmtId="0" fontId="6" fillId="0" borderId="33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34" xfId="0" applyNumberFormat="1" applyFont="1" applyFill="1" applyBorder="1" applyAlignment="1">
      <alignment horizontal="center" vertical="center"/>
    </xf>
    <xf numFmtId="0" fontId="6" fillId="0" borderId="35" xfId="0" applyNumberFormat="1" applyFont="1" applyFill="1" applyBorder="1" applyAlignment="1">
      <alignment horizontal="center" vertical="center"/>
    </xf>
    <xf numFmtId="0" fontId="6" fillId="0" borderId="36" xfId="0" applyNumberFormat="1" applyFont="1" applyFill="1" applyBorder="1" applyAlignment="1">
      <alignment horizontal="center" vertical="center"/>
    </xf>
    <xf numFmtId="0" fontId="6" fillId="0" borderId="37" xfId="0" applyNumberFormat="1" applyFont="1" applyFill="1" applyBorder="1" applyAlignment="1">
      <alignment horizontal="center" vertical="center"/>
    </xf>
    <xf numFmtId="0" fontId="6" fillId="0" borderId="38" xfId="0" applyNumberFormat="1" applyFont="1" applyFill="1" applyBorder="1" applyAlignment="1">
      <alignment horizontal="center" vertical="center" wrapText="1"/>
    </xf>
    <xf numFmtId="0" fontId="6" fillId="0" borderId="39" xfId="0" applyNumberFormat="1" applyFont="1" applyFill="1" applyBorder="1" applyAlignment="1">
      <alignment horizontal="center" vertical="center" wrapText="1"/>
    </xf>
    <xf numFmtId="0" fontId="6" fillId="0" borderId="23" xfId="0" applyNumberFormat="1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E5EA9E-0CA0-4D64-934C-E50BA349E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E5EA9E-0CA0-4D64-934C-E50BA349E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7E5EA9E-0CA0-4D64-934C-E50BA349E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190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3"/>
  <sheetViews>
    <sheetView tabSelected="1" topLeftCell="A10" workbookViewId="0">
      <selection activeCell="D27" sqref="D27"/>
    </sheetView>
  </sheetViews>
  <sheetFormatPr baseColWidth="10" defaultRowHeight="12.75" x14ac:dyDescent="0.2"/>
  <cols>
    <col min="1" max="1" width="29.5703125" customWidth="1"/>
    <col min="2" max="2" width="33.7109375" customWidth="1"/>
    <col min="3" max="3" width="29.5703125" customWidth="1"/>
    <col min="4" max="4" width="21.140625" customWidth="1"/>
    <col min="5" max="10" width="16.7109375" customWidth="1"/>
    <col min="11" max="11" width="16.140625" customWidth="1"/>
  </cols>
  <sheetData>
    <row r="1" spans="1:13" ht="48" customHeight="1" x14ac:dyDescent="0.2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ht="18" x14ac:dyDescent="0.25">
      <c r="A2" s="129" t="str">
        <f>valoración!A3</f>
        <v>PROPUESTA DE ADJUDICACIÓN DEL EXPEDIENTE S-07422-2022</v>
      </c>
      <c r="B2" s="129"/>
      <c r="C2" s="129"/>
      <c r="D2" s="129"/>
      <c r="E2" s="129"/>
      <c r="F2" s="129"/>
      <c r="G2" s="129"/>
      <c r="H2" s="129"/>
      <c r="I2" s="129"/>
      <c r="J2" s="129"/>
      <c r="K2" s="61"/>
    </row>
    <row r="3" spans="1:13" ht="18" x14ac:dyDescent="0.25">
      <c r="A3" s="129" t="str">
        <f>valoración!A4</f>
        <v>"Soporte y Mantenimiento Legacy, Gestión de Integración Continua y Testing funcional"</v>
      </c>
      <c r="B3" s="129"/>
      <c r="C3" s="129"/>
      <c r="D3" s="129"/>
      <c r="E3" s="129"/>
      <c r="F3" s="129"/>
      <c r="G3" s="129"/>
      <c r="H3" s="129"/>
      <c r="I3" s="129"/>
      <c r="J3" s="129"/>
      <c r="K3" s="61"/>
    </row>
    <row r="4" spans="1:13" ht="18" x14ac:dyDescent="0.25">
      <c r="A4" s="129" t="str">
        <f>valoración!A5</f>
        <v>RESUMEN PUNTUACIÓN TÉCNICA Y ECONÓMICA</v>
      </c>
      <c r="B4" s="129"/>
      <c r="C4" s="129"/>
      <c r="D4" s="129"/>
      <c r="E4" s="129"/>
      <c r="F4" s="129"/>
      <c r="G4" s="129"/>
      <c r="H4" s="129"/>
      <c r="I4" s="129"/>
      <c r="J4" s="129"/>
      <c r="K4" s="61"/>
    </row>
    <row r="5" spans="1:13" x14ac:dyDescent="0.2">
      <c r="A5" s="61"/>
      <c r="B5" s="61"/>
      <c r="C5" s="61"/>
      <c r="D5" s="61"/>
      <c r="E5" s="61"/>
      <c r="F5" s="61"/>
      <c r="G5" s="61"/>
      <c r="H5" s="61"/>
      <c r="I5" s="61"/>
      <c r="J5" s="61"/>
      <c r="K5" s="61"/>
    </row>
    <row r="6" spans="1:13" ht="13.5" thickBot="1" x14ac:dyDescent="0.25">
      <c r="A6" s="61"/>
      <c r="G6" s="61"/>
      <c r="H6" s="61"/>
      <c r="I6" s="61"/>
      <c r="J6" s="61"/>
      <c r="K6" s="61"/>
    </row>
    <row r="7" spans="1:13" ht="30.75" customHeight="1" thickBot="1" x14ac:dyDescent="0.25">
      <c r="A7" s="61"/>
      <c r="B7" s="61"/>
      <c r="C7" s="61"/>
      <c r="D7" s="61"/>
      <c r="E7" s="140" t="s">
        <v>15</v>
      </c>
      <c r="F7" s="141"/>
      <c r="G7" s="141"/>
      <c r="H7" s="141"/>
      <c r="I7" s="141"/>
      <c r="J7" s="142"/>
      <c r="K7" s="93"/>
    </row>
    <row r="8" spans="1:13" ht="60.75" thickBot="1" x14ac:dyDescent="0.25">
      <c r="A8" s="15" t="s">
        <v>4</v>
      </c>
      <c r="B8" s="16" t="s">
        <v>5</v>
      </c>
      <c r="C8" s="17" t="s">
        <v>34</v>
      </c>
      <c r="D8" s="18" t="s">
        <v>0</v>
      </c>
      <c r="E8" s="16" t="s">
        <v>20</v>
      </c>
      <c r="F8" s="17" t="s">
        <v>1</v>
      </c>
      <c r="G8" s="17" t="s">
        <v>17</v>
      </c>
      <c r="H8" s="17" t="s">
        <v>10</v>
      </c>
      <c r="I8" s="17" t="s">
        <v>11</v>
      </c>
      <c r="J8" s="18" t="s">
        <v>12</v>
      </c>
      <c r="K8" s="17" t="s">
        <v>22</v>
      </c>
    </row>
    <row r="9" spans="1:13" ht="51.75" customHeight="1" thickBot="1" x14ac:dyDescent="0.25">
      <c r="A9" s="19" t="s">
        <v>23</v>
      </c>
      <c r="B9" s="109" t="s">
        <v>26</v>
      </c>
      <c r="C9" s="102">
        <v>585000</v>
      </c>
      <c r="D9" s="110">
        <v>48</v>
      </c>
      <c r="E9" s="111">
        <v>538215</v>
      </c>
      <c r="F9" s="112">
        <v>48.902604356543932</v>
      </c>
      <c r="G9" s="112">
        <v>96.902604356543932</v>
      </c>
      <c r="H9" s="113">
        <v>1</v>
      </c>
      <c r="I9" s="114">
        <v>0.30232558139534882</v>
      </c>
      <c r="J9" s="115">
        <v>29.296136200815607</v>
      </c>
      <c r="K9" s="99">
        <f>1-(E9/C9)</f>
        <v>7.9974358974359006E-2</v>
      </c>
      <c r="M9" s="78"/>
    </row>
    <row r="10" spans="1:13" ht="51.75" customHeight="1" thickBot="1" x14ac:dyDescent="0.25">
      <c r="A10" s="20"/>
      <c r="B10" s="62" t="s">
        <v>27</v>
      </c>
      <c r="C10" s="22">
        <v>585000</v>
      </c>
      <c r="D10" s="28">
        <v>40</v>
      </c>
      <c r="E10" s="63">
        <v>526656</v>
      </c>
      <c r="F10" s="64">
        <v>50</v>
      </c>
      <c r="G10" s="64">
        <v>90</v>
      </c>
      <c r="H10" s="77"/>
      <c r="I10" s="65"/>
      <c r="J10" s="66"/>
      <c r="K10" s="99">
        <f t="shared" ref="K10" si="0">1-(E10/C10)</f>
        <v>9.973333333333334E-2</v>
      </c>
    </row>
    <row r="11" spans="1:13" ht="48" customHeight="1" thickBot="1" x14ac:dyDescent="0.25">
      <c r="A11" s="20"/>
      <c r="B11" s="67" t="s">
        <v>28</v>
      </c>
      <c r="C11" s="22">
        <v>585000</v>
      </c>
      <c r="D11" s="31">
        <v>12</v>
      </c>
      <c r="E11" s="136" t="s">
        <v>36</v>
      </c>
      <c r="F11" s="137"/>
      <c r="G11" s="137"/>
      <c r="H11" s="137"/>
      <c r="I11" s="137"/>
      <c r="J11" s="138"/>
      <c r="K11" s="99"/>
    </row>
    <row r="12" spans="1:13" ht="45.75" customHeight="1" x14ac:dyDescent="0.2">
      <c r="A12" s="19" t="s">
        <v>24</v>
      </c>
      <c r="B12" s="130"/>
      <c r="C12" s="133">
        <v>960000</v>
      </c>
      <c r="D12" s="117" t="s">
        <v>29</v>
      </c>
      <c r="E12" s="118"/>
      <c r="F12" s="118"/>
      <c r="G12" s="118"/>
      <c r="H12" s="118"/>
      <c r="I12" s="118"/>
      <c r="J12" s="119"/>
      <c r="K12" s="126"/>
    </row>
    <row r="13" spans="1:13" ht="35.1" customHeight="1" x14ac:dyDescent="0.2">
      <c r="A13" s="20"/>
      <c r="B13" s="131"/>
      <c r="C13" s="134"/>
      <c r="D13" s="120"/>
      <c r="E13" s="121"/>
      <c r="F13" s="121"/>
      <c r="G13" s="121"/>
      <c r="H13" s="121"/>
      <c r="I13" s="121"/>
      <c r="J13" s="122"/>
      <c r="K13" s="127"/>
    </row>
    <row r="14" spans="1:13" ht="35.1" customHeight="1" thickBot="1" x14ac:dyDescent="0.25">
      <c r="A14" s="21"/>
      <c r="B14" s="132"/>
      <c r="C14" s="135"/>
      <c r="D14" s="123"/>
      <c r="E14" s="124"/>
      <c r="F14" s="124"/>
      <c r="G14" s="124"/>
      <c r="H14" s="124"/>
      <c r="I14" s="124"/>
      <c r="J14" s="125"/>
      <c r="K14" s="128"/>
    </row>
    <row r="15" spans="1:13" ht="57.75" customHeight="1" thickBot="1" x14ac:dyDescent="0.25">
      <c r="A15" s="19" t="s">
        <v>25</v>
      </c>
      <c r="B15" s="58" t="s">
        <v>26</v>
      </c>
      <c r="C15" s="22">
        <v>390000</v>
      </c>
      <c r="D15" s="23">
        <v>35</v>
      </c>
      <c r="E15" s="51">
        <v>362760</v>
      </c>
      <c r="F15" s="25">
        <v>43.404350919234659</v>
      </c>
      <c r="G15" s="25">
        <v>78.404350919234659</v>
      </c>
      <c r="H15" s="48"/>
      <c r="I15" s="34">
        <v>0</v>
      </c>
      <c r="J15" s="35">
        <v>0</v>
      </c>
      <c r="K15" s="100">
        <f>1-(E15/C15)</f>
        <v>6.9846153846153891E-2</v>
      </c>
    </row>
    <row r="16" spans="1:13" ht="35.1" customHeight="1" thickBot="1" x14ac:dyDescent="0.25">
      <c r="A16" s="20"/>
      <c r="B16" s="101" t="s">
        <v>27</v>
      </c>
      <c r="C16" s="102">
        <v>390000</v>
      </c>
      <c r="D16" s="103">
        <v>50</v>
      </c>
      <c r="E16" s="104">
        <v>320484</v>
      </c>
      <c r="F16" s="105">
        <v>50</v>
      </c>
      <c r="G16" s="105">
        <v>100</v>
      </c>
      <c r="H16" s="106">
        <v>1</v>
      </c>
      <c r="I16" s="107">
        <v>0.20155038759689922</v>
      </c>
      <c r="J16" s="108">
        <v>20.155038759689923</v>
      </c>
      <c r="K16" s="100">
        <f>1-(E16/C16)</f>
        <v>0.17824615384615383</v>
      </c>
      <c r="M16" s="94"/>
    </row>
    <row r="17" spans="1:11" ht="48" customHeight="1" thickBot="1" x14ac:dyDescent="0.25">
      <c r="A17" s="21"/>
      <c r="B17" s="68" t="s">
        <v>28</v>
      </c>
      <c r="C17" s="22">
        <v>390000</v>
      </c>
      <c r="D17" s="95">
        <v>0</v>
      </c>
      <c r="E17" s="116" t="s">
        <v>36</v>
      </c>
      <c r="F17" s="116"/>
      <c r="G17" s="116"/>
      <c r="H17" s="116"/>
      <c r="I17" s="116"/>
      <c r="J17" s="116"/>
      <c r="K17" s="96"/>
    </row>
    <row r="18" spans="1:11" ht="41.25" thickBot="1" x14ac:dyDescent="0.25">
      <c r="A18" s="69"/>
      <c r="B18" s="70" t="s">
        <v>13</v>
      </c>
      <c r="C18" s="43">
        <f>+C9+C12+C15</f>
        <v>1935000</v>
      </c>
      <c r="D18" s="71"/>
      <c r="E18" s="71"/>
      <c r="F18" s="71"/>
      <c r="G18" s="71"/>
      <c r="H18" s="71"/>
      <c r="I18" s="97" t="s">
        <v>21</v>
      </c>
      <c r="J18" s="98">
        <f>SUM(J9:J17)</f>
        <v>49.451174960505526</v>
      </c>
      <c r="K18" s="61"/>
    </row>
    <row r="19" spans="1:11" x14ac:dyDescent="0.2">
      <c r="A19" s="61"/>
      <c r="B19" s="61"/>
      <c r="C19" s="61"/>
      <c r="D19" s="61"/>
      <c r="E19" s="61"/>
      <c r="F19" s="61"/>
      <c r="G19" s="61"/>
      <c r="H19" s="61"/>
      <c r="I19" s="61"/>
      <c r="J19" s="61"/>
      <c r="K19" s="61"/>
    </row>
    <row r="20" spans="1:11" x14ac:dyDescent="0.2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</row>
    <row r="21" spans="1:11" ht="14.25" x14ac:dyDescent="0.2">
      <c r="A21" s="72" t="s">
        <v>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</row>
    <row r="22" spans="1:11" ht="14.25" x14ac:dyDescent="0.2">
      <c r="A22" s="72" t="s">
        <v>37</v>
      </c>
      <c r="B22" s="61"/>
      <c r="C22" s="61"/>
      <c r="D22" s="61"/>
      <c r="E22" s="61"/>
      <c r="F22" s="61"/>
      <c r="G22" s="61"/>
      <c r="H22" s="61"/>
      <c r="I22" s="61"/>
      <c r="J22" s="61"/>
      <c r="K22" s="61"/>
    </row>
    <row r="23" spans="1:11" x14ac:dyDescent="0.2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</row>
  </sheetData>
  <mergeCells count="10">
    <mergeCell ref="E17:J17"/>
    <mergeCell ref="D12:J14"/>
    <mergeCell ref="K12:K14"/>
    <mergeCell ref="A2:J2"/>
    <mergeCell ref="A3:J3"/>
    <mergeCell ref="A4:J4"/>
    <mergeCell ref="B12:B14"/>
    <mergeCell ref="C12:C14"/>
    <mergeCell ref="E11:J11"/>
    <mergeCell ref="E7:J7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showGridLines="0" showZeros="0" topLeftCell="A7" zoomScaleNormal="100" workbookViewId="0">
      <selection activeCell="E7" sqref="E7:J7"/>
    </sheetView>
  </sheetViews>
  <sheetFormatPr baseColWidth="10" defaultRowHeight="15" x14ac:dyDescent="0.2"/>
  <cols>
    <col min="1" max="1" width="30.42578125" style="9" customWidth="1"/>
    <col min="2" max="2" width="37.140625" style="10" customWidth="1"/>
    <col min="3" max="3" width="25.140625" style="10" customWidth="1"/>
    <col min="4" max="4" width="17" style="10" customWidth="1"/>
    <col min="5" max="11" width="16.7109375" style="10" customWidth="1"/>
    <col min="12" max="12" width="19.7109375" style="10" bestFit="1" customWidth="1"/>
    <col min="13" max="24" width="16.7109375" style="10" customWidth="1"/>
    <col min="25" max="16384" width="11.42578125" style="10"/>
  </cols>
  <sheetData>
    <row r="1" spans="1:28" x14ac:dyDescent="0.2">
      <c r="AA1" s="12" t="s">
        <v>7</v>
      </c>
    </row>
    <row r="2" spans="1:28" s="3" customFormat="1" ht="48" customHeight="1" x14ac:dyDescent="0.15">
      <c r="A2" s="2"/>
      <c r="D2" s="4"/>
      <c r="E2" s="4"/>
      <c r="F2" s="4"/>
      <c r="G2" s="4"/>
      <c r="H2" s="5"/>
      <c r="M2" s="11"/>
      <c r="AA2" s="13" t="s">
        <v>19</v>
      </c>
      <c r="AB2" s="14">
        <v>50</v>
      </c>
    </row>
    <row r="3" spans="1:28" s="3" customFormat="1" ht="22.5" customHeight="1" x14ac:dyDescent="0.15">
      <c r="A3" s="146" t="s">
        <v>30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AA3" s="32" t="s">
        <v>9</v>
      </c>
    </row>
    <row r="4" spans="1:28" s="3" customFormat="1" ht="22.5" customHeight="1" x14ac:dyDescent="0.15">
      <c r="A4" s="146" t="s">
        <v>31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</row>
    <row r="5" spans="1:28" s="3" customFormat="1" ht="24.6" customHeight="1" x14ac:dyDescent="0.15">
      <c r="A5" s="146" t="s">
        <v>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</row>
    <row r="6" spans="1:28" s="3" customFormat="1" ht="24.6" customHeight="1" thickBot="1" x14ac:dyDescent="0.2">
      <c r="A6" s="30"/>
      <c r="B6" s="30"/>
      <c r="C6" s="30"/>
      <c r="D6" s="30"/>
      <c r="E6" s="30"/>
      <c r="F6" s="30"/>
      <c r="G6" s="30"/>
      <c r="H6" s="4"/>
    </row>
    <row r="7" spans="1:28" s="3" customFormat="1" ht="24.75" customHeight="1" thickBot="1" x14ac:dyDescent="0.3">
      <c r="A7" s="2"/>
      <c r="B7" s="6"/>
      <c r="C7" s="7"/>
      <c r="D7" s="7"/>
      <c r="E7" s="140" t="s">
        <v>15</v>
      </c>
      <c r="F7" s="141"/>
      <c r="G7" s="141"/>
      <c r="H7" s="141"/>
      <c r="I7" s="141"/>
      <c r="J7" s="142"/>
      <c r="K7" s="143" t="s">
        <v>32</v>
      </c>
      <c r="L7" s="144"/>
      <c r="M7" s="144"/>
      <c r="N7" s="144"/>
      <c r="O7" s="144"/>
      <c r="P7" s="144"/>
      <c r="Q7" s="145"/>
      <c r="R7" s="143" t="s">
        <v>35</v>
      </c>
      <c r="S7" s="144"/>
      <c r="T7" s="144"/>
      <c r="U7" s="144"/>
      <c r="V7" s="144"/>
      <c r="W7" s="144"/>
      <c r="X7" s="145"/>
    </row>
    <row r="8" spans="1:28" s="8" customFormat="1" ht="60.75" thickBot="1" x14ac:dyDescent="0.25">
      <c r="A8" s="15" t="s">
        <v>4</v>
      </c>
      <c r="B8" s="16" t="s">
        <v>5</v>
      </c>
      <c r="C8" s="17" t="s">
        <v>33</v>
      </c>
      <c r="D8" s="18" t="s">
        <v>0</v>
      </c>
      <c r="E8" s="16" t="s">
        <v>18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18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  <c r="R8" s="16" t="s">
        <v>16</v>
      </c>
      <c r="S8" s="16" t="s">
        <v>18</v>
      </c>
      <c r="T8" s="17" t="s">
        <v>1</v>
      </c>
      <c r="U8" s="17" t="s">
        <v>17</v>
      </c>
      <c r="V8" s="80" t="s">
        <v>10</v>
      </c>
      <c r="W8" s="80" t="s">
        <v>11</v>
      </c>
      <c r="X8" s="81" t="s">
        <v>12</v>
      </c>
    </row>
    <row r="9" spans="1:28" s="3" customFormat="1" ht="66" customHeight="1" thickBot="1" x14ac:dyDescent="0.2">
      <c r="A9" s="19" t="s">
        <v>23</v>
      </c>
      <c r="B9" s="58" t="s">
        <v>26</v>
      </c>
      <c r="C9" s="22">
        <v>585000</v>
      </c>
      <c r="D9" s="23">
        <v>48</v>
      </c>
      <c r="E9" s="24">
        <v>538215</v>
      </c>
      <c r="F9" s="25">
        <f>$AB$2*(2-E9/MIN(E$9:E$10))</f>
        <v>48.902604356543932</v>
      </c>
      <c r="G9" s="25">
        <f>D9+F9</f>
        <v>96.902604356543932</v>
      </c>
      <c r="H9" s="45">
        <v>1</v>
      </c>
      <c r="I9" s="37">
        <f>+$C9/$C$18*H9</f>
        <v>0.30232558139534882</v>
      </c>
      <c r="J9" s="38">
        <f>+G9*I9</f>
        <v>29.296136200815607</v>
      </c>
      <c r="K9" s="73">
        <v>6.5000000000000002E-2</v>
      </c>
      <c r="L9" s="51">
        <f>+$E9*(1-K9)</f>
        <v>503231.02500000002</v>
      </c>
      <c r="M9" s="25">
        <f>$AB$2*(2-L9/MIN(L$9:L$10))</f>
        <v>50</v>
      </c>
      <c r="N9" s="25">
        <f>$D9+M9</f>
        <v>98</v>
      </c>
      <c r="O9" s="33">
        <v>1</v>
      </c>
      <c r="P9" s="34">
        <f>+$C9/$C$18*O9</f>
        <v>0.30232558139534882</v>
      </c>
      <c r="Q9" s="35">
        <f>+N9*P9</f>
        <v>29.627906976744185</v>
      </c>
      <c r="R9" s="50"/>
      <c r="S9" s="51">
        <f>+$E9*(1-R9)</f>
        <v>538215</v>
      </c>
      <c r="T9" s="25">
        <f>$AB$2*(2-S9/MIN(S$9:S$11))</f>
        <v>48.124471427963378</v>
      </c>
      <c r="U9" s="25">
        <f>$D9+T9</f>
        <v>96.124471427963385</v>
      </c>
      <c r="V9" s="46"/>
      <c r="W9" s="46"/>
      <c r="X9" s="46"/>
    </row>
    <row r="10" spans="1:28" s="3" customFormat="1" ht="35.1" customHeight="1" thickBot="1" x14ac:dyDescent="0.2">
      <c r="A10" s="20"/>
      <c r="B10" s="59" t="s">
        <v>27</v>
      </c>
      <c r="C10" s="22">
        <v>585000</v>
      </c>
      <c r="D10" s="28">
        <v>40</v>
      </c>
      <c r="E10" s="85">
        <v>526656</v>
      </c>
      <c r="F10" s="29">
        <f>$AB$2*(2-E10/MIN(E$9:E$11))</f>
        <v>50</v>
      </c>
      <c r="G10" s="29">
        <f>D10+F10</f>
        <v>90</v>
      </c>
      <c r="H10" s="46"/>
      <c r="I10" s="46"/>
      <c r="J10" s="46"/>
      <c r="K10" s="92"/>
      <c r="L10" s="53">
        <f>+$E10*(1-K10)</f>
        <v>526656</v>
      </c>
      <c r="M10" s="29">
        <f>$AB$2*(2-L10/MIN(L$9:L$10))</f>
        <v>47.672542645795737</v>
      </c>
      <c r="N10" s="29">
        <f>$D10+M10</f>
        <v>87.672542645795744</v>
      </c>
      <c r="O10" s="46"/>
      <c r="P10" s="37">
        <f>+$C10/$C$18*O10</f>
        <v>0</v>
      </c>
      <c r="Q10" s="38">
        <f t="shared" ref="Q10" si="0">+N10*P10</f>
        <v>0</v>
      </c>
      <c r="R10" s="74">
        <v>1.4999999999999999E-2</v>
      </c>
      <c r="S10" s="53">
        <f t="shared" ref="S10:S16" si="1">+$E10*(1-R10)</f>
        <v>518756.16</v>
      </c>
      <c r="T10" s="29">
        <f>$AB$2*(2-S10/MIN(S$9:S$11))</f>
        <v>50</v>
      </c>
      <c r="U10" s="29">
        <f t="shared" ref="U10:U17" si="2">$D10+T10</f>
        <v>90</v>
      </c>
      <c r="V10" s="82">
        <v>1</v>
      </c>
      <c r="W10" s="83">
        <f>+$C10/$C$18*V10</f>
        <v>0.30232558139534882</v>
      </c>
      <c r="X10" s="84">
        <f>+U10*W10</f>
        <v>27.209302325581394</v>
      </c>
    </row>
    <row r="11" spans="1:28" s="3" customFormat="1" ht="48" customHeight="1" thickBot="1" x14ac:dyDescent="0.2">
      <c r="A11" s="20"/>
      <c r="B11" s="60" t="s">
        <v>28</v>
      </c>
      <c r="C11" s="22">
        <v>585000</v>
      </c>
      <c r="D11" s="31">
        <v>12</v>
      </c>
      <c r="E11" s="136" t="s">
        <v>36</v>
      </c>
      <c r="F11" s="137"/>
      <c r="G11" s="137"/>
      <c r="H11" s="137"/>
      <c r="I11" s="137"/>
      <c r="J11" s="138"/>
      <c r="K11" s="52"/>
      <c r="L11" s="53"/>
      <c r="M11" s="29"/>
      <c r="N11" s="29"/>
      <c r="O11" s="46"/>
      <c r="P11" s="37"/>
      <c r="Q11" s="38"/>
      <c r="R11" s="52"/>
      <c r="S11" s="53"/>
      <c r="T11" s="29"/>
      <c r="U11" s="29"/>
      <c r="V11" s="46"/>
      <c r="W11" s="37"/>
      <c r="X11" s="38"/>
    </row>
    <row r="12" spans="1:28" s="3" customFormat="1" ht="49.5" customHeight="1" x14ac:dyDescent="0.15">
      <c r="A12" s="19" t="s">
        <v>24</v>
      </c>
      <c r="B12" s="155"/>
      <c r="C12" s="133">
        <v>960000</v>
      </c>
      <c r="D12" s="117" t="s">
        <v>29</v>
      </c>
      <c r="E12" s="147"/>
      <c r="F12" s="147"/>
      <c r="G12" s="147"/>
      <c r="H12" s="147"/>
      <c r="I12" s="147"/>
      <c r="J12" s="148"/>
      <c r="K12" s="50"/>
      <c r="L12" s="51"/>
      <c r="M12" s="25"/>
      <c r="N12" s="25"/>
      <c r="O12" s="48"/>
      <c r="P12" s="34"/>
      <c r="Q12" s="35"/>
      <c r="R12" s="50"/>
      <c r="S12" s="51"/>
      <c r="T12" s="25"/>
      <c r="U12" s="25"/>
      <c r="V12" s="48"/>
      <c r="W12" s="34"/>
      <c r="X12" s="35"/>
    </row>
    <row r="13" spans="1:28" s="3" customFormat="1" ht="35.1" customHeight="1" x14ac:dyDescent="0.15">
      <c r="A13" s="20"/>
      <c r="B13" s="156"/>
      <c r="C13" s="134"/>
      <c r="D13" s="149"/>
      <c r="E13" s="150"/>
      <c r="F13" s="150"/>
      <c r="G13" s="150"/>
      <c r="H13" s="150"/>
      <c r="I13" s="150"/>
      <c r="J13" s="151"/>
      <c r="K13" s="52"/>
      <c r="L13" s="53"/>
      <c r="M13" s="29"/>
      <c r="N13" s="29"/>
      <c r="O13" s="46"/>
      <c r="P13" s="37"/>
      <c r="Q13" s="38"/>
      <c r="R13" s="52"/>
      <c r="S13" s="53"/>
      <c r="T13" s="29"/>
      <c r="U13" s="29"/>
      <c r="V13" s="46"/>
      <c r="W13" s="37"/>
      <c r="X13" s="38"/>
    </row>
    <row r="14" spans="1:28" s="3" customFormat="1" ht="35.1" customHeight="1" thickBot="1" x14ac:dyDescent="0.2">
      <c r="A14" s="21"/>
      <c r="B14" s="157"/>
      <c r="C14" s="135"/>
      <c r="D14" s="152"/>
      <c r="E14" s="153"/>
      <c r="F14" s="153"/>
      <c r="G14" s="153"/>
      <c r="H14" s="153"/>
      <c r="I14" s="153"/>
      <c r="J14" s="154"/>
      <c r="K14" s="49"/>
      <c r="L14" s="54"/>
      <c r="M14" s="27"/>
      <c r="N14" s="75"/>
      <c r="O14" s="39"/>
      <c r="P14" s="40"/>
      <c r="Q14" s="41"/>
      <c r="R14" s="49"/>
      <c r="S14" s="54"/>
      <c r="T14" s="27"/>
      <c r="U14" s="75"/>
      <c r="V14" s="39"/>
      <c r="W14" s="40"/>
      <c r="X14" s="41"/>
    </row>
    <row r="15" spans="1:28" s="3" customFormat="1" ht="66" customHeight="1" thickBot="1" x14ac:dyDescent="0.2">
      <c r="A15" s="19" t="s">
        <v>25</v>
      </c>
      <c r="B15" s="58" t="s">
        <v>26</v>
      </c>
      <c r="C15" s="22">
        <v>390000</v>
      </c>
      <c r="D15" s="23">
        <v>35</v>
      </c>
      <c r="E15" s="24">
        <v>362760</v>
      </c>
      <c r="F15" s="25">
        <f>$AB$2*(2-E15/MIN(E$15:E$17))</f>
        <v>43.404350919234659</v>
      </c>
      <c r="G15" s="57">
        <f t="shared" ref="G15:G16" si="3">D15+F15</f>
        <v>78.404350919234659</v>
      </c>
      <c r="H15" s="44"/>
      <c r="I15" s="34">
        <f>+$C15/$C$18*H15</f>
        <v>0</v>
      </c>
      <c r="J15" s="35">
        <f t="shared" ref="J15:J16" si="4">+G15*I15</f>
        <v>0</v>
      </c>
      <c r="K15" s="73">
        <v>7.4999999999999997E-2</v>
      </c>
      <c r="L15" s="51">
        <f t="shared" ref="L15:L16" si="5">+$E15*(1-K15)</f>
        <v>335553</v>
      </c>
      <c r="M15" s="25">
        <f>$AB$2*(2-L15/MIN(L$15:L$15))</f>
        <v>50</v>
      </c>
      <c r="N15" s="25">
        <f t="shared" ref="N15:N16" si="6">$D15+M15</f>
        <v>85</v>
      </c>
      <c r="O15" s="36">
        <v>1</v>
      </c>
      <c r="P15" s="37">
        <f>+$C15/$C$18*O15</f>
        <v>0.20155038759689922</v>
      </c>
      <c r="Q15" s="38">
        <f>+N15*P15</f>
        <v>17.131782945736433</v>
      </c>
      <c r="R15" s="50"/>
      <c r="S15" s="51">
        <f t="shared" si="1"/>
        <v>362760</v>
      </c>
      <c r="T15" s="25">
        <f>$AB$2*(2-S15/MIN(S$15:S$17))</f>
        <v>42.542488242877816</v>
      </c>
      <c r="U15" s="25">
        <f t="shared" si="2"/>
        <v>77.542488242877823</v>
      </c>
      <c r="V15" s="48"/>
      <c r="W15" s="34">
        <f>+$C15/$C$18*V15</f>
        <v>0</v>
      </c>
      <c r="X15" s="35">
        <f t="shared" ref="X15:X17" si="7">+U15*W15</f>
        <v>0</v>
      </c>
    </row>
    <row r="16" spans="1:28" s="3" customFormat="1" ht="35.1" customHeight="1" thickBot="1" x14ac:dyDescent="0.2">
      <c r="A16" s="20"/>
      <c r="B16" s="59" t="s">
        <v>27</v>
      </c>
      <c r="C16" s="22">
        <v>390000</v>
      </c>
      <c r="D16" s="28">
        <v>50</v>
      </c>
      <c r="E16" s="85">
        <v>320484</v>
      </c>
      <c r="F16" s="29">
        <f>$AB$2*(2-E16/MIN(E$15:E$17))</f>
        <v>50</v>
      </c>
      <c r="G16" s="86">
        <f t="shared" si="3"/>
        <v>100</v>
      </c>
      <c r="H16" s="45">
        <v>1</v>
      </c>
      <c r="I16" s="37">
        <f>+$C16/$C$18*H16</f>
        <v>0.20155038759689922</v>
      </c>
      <c r="J16" s="38">
        <f t="shared" si="4"/>
        <v>20.155038759689923</v>
      </c>
      <c r="K16" s="52"/>
      <c r="L16" s="53">
        <f t="shared" si="5"/>
        <v>320484</v>
      </c>
      <c r="M16" s="29">
        <f>$AB$2*(2-L16/MIN(L$15:L$16))</f>
        <v>50</v>
      </c>
      <c r="N16" s="29">
        <f t="shared" si="6"/>
        <v>100</v>
      </c>
      <c r="R16" s="74">
        <v>1.4999999999999999E-2</v>
      </c>
      <c r="S16" s="53">
        <f t="shared" si="1"/>
        <v>315676.74</v>
      </c>
      <c r="T16" s="29">
        <f>$AB$2*(2-S16/MIN(S$15:S$17))</f>
        <v>50</v>
      </c>
      <c r="U16" s="29">
        <f t="shared" si="2"/>
        <v>100</v>
      </c>
      <c r="V16" s="36">
        <v>1</v>
      </c>
      <c r="W16" s="37">
        <f>+$C16/$C$18*V16</f>
        <v>0.20155038759689922</v>
      </c>
      <c r="X16" s="38">
        <f t="shared" si="7"/>
        <v>20.155038759689923</v>
      </c>
      <c r="Z16" s="88"/>
    </row>
    <row r="17" spans="1:24" s="3" customFormat="1" ht="45.75" customHeight="1" thickBot="1" x14ac:dyDescent="0.2">
      <c r="A17" s="21"/>
      <c r="B17" s="60" t="s">
        <v>28</v>
      </c>
      <c r="C17" s="22">
        <v>390000</v>
      </c>
      <c r="D17" s="26">
        <v>0</v>
      </c>
      <c r="E17" s="136" t="s">
        <v>36</v>
      </c>
      <c r="F17" s="137"/>
      <c r="G17" s="137"/>
      <c r="H17" s="137"/>
      <c r="I17" s="137"/>
      <c r="J17" s="138"/>
      <c r="K17" s="49"/>
      <c r="L17" s="54"/>
      <c r="M17" s="27"/>
      <c r="N17" s="27"/>
      <c r="O17" s="47"/>
      <c r="P17" s="40"/>
      <c r="Q17" s="41"/>
      <c r="R17" s="49"/>
      <c r="S17" s="54"/>
      <c r="T17" s="27"/>
      <c r="U17" s="27">
        <f t="shared" si="2"/>
        <v>0</v>
      </c>
      <c r="V17" s="47"/>
      <c r="W17" s="40">
        <f>+$C17/$C$18*V17</f>
        <v>0</v>
      </c>
      <c r="X17" s="41">
        <f t="shared" si="7"/>
        <v>0</v>
      </c>
    </row>
    <row r="18" spans="1:24" ht="42.75" customHeight="1" thickBot="1" x14ac:dyDescent="0.25">
      <c r="B18" s="42" t="s">
        <v>13</v>
      </c>
      <c r="C18" s="43">
        <f>+C9+C12+C15</f>
        <v>1935000</v>
      </c>
      <c r="F18" s="89"/>
      <c r="I18" s="55" t="s">
        <v>14</v>
      </c>
      <c r="J18" s="56">
        <f>SUM(J9:J17)</f>
        <v>49.451174960505526</v>
      </c>
      <c r="O18" s="87"/>
      <c r="P18" s="55" t="s">
        <v>14</v>
      </c>
      <c r="Q18" s="56">
        <f>SUM(Q9:Q17)</f>
        <v>46.759689922480618</v>
      </c>
      <c r="S18" s="89"/>
      <c r="T18" s="90"/>
      <c r="W18" s="55" t="s">
        <v>14</v>
      </c>
      <c r="X18" s="56">
        <f>SUM(X9:X17)</f>
        <v>47.36434108527132</v>
      </c>
    </row>
    <row r="19" spans="1:24" x14ac:dyDescent="0.2">
      <c r="S19" s="89"/>
      <c r="T19" s="90"/>
    </row>
    <row r="20" spans="1:24" x14ac:dyDescent="0.2">
      <c r="S20" s="90"/>
      <c r="T20" s="90"/>
    </row>
    <row r="21" spans="1:24" ht="14.25" x14ac:dyDescent="0.2">
      <c r="A21" s="1" t="s">
        <v>2</v>
      </c>
      <c r="K21" s="76"/>
    </row>
    <row r="22" spans="1:24" ht="14.25" x14ac:dyDescent="0.2">
      <c r="A22" s="1" t="s">
        <v>6</v>
      </c>
    </row>
    <row r="24" spans="1:24" ht="56.25" customHeight="1" x14ac:dyDescent="0.2">
      <c r="A24" s="139"/>
      <c r="B24" s="139"/>
      <c r="C24" s="139"/>
      <c r="D24" s="139"/>
      <c r="E24" s="139"/>
      <c r="F24" s="139"/>
      <c r="G24" s="139"/>
    </row>
    <row r="26" spans="1:24" x14ac:dyDescent="0.2">
      <c r="A26" s="79"/>
    </row>
  </sheetData>
  <mergeCells count="12">
    <mergeCell ref="A24:G24"/>
    <mergeCell ref="E7:J7"/>
    <mergeCell ref="K7:Q7"/>
    <mergeCell ref="R7:X7"/>
    <mergeCell ref="A3:X3"/>
    <mergeCell ref="A4:X4"/>
    <mergeCell ref="A5:X5"/>
    <mergeCell ref="E11:J11"/>
    <mergeCell ref="E17:J17"/>
    <mergeCell ref="D12:J14"/>
    <mergeCell ref="B12:B14"/>
    <mergeCell ref="C12:C14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showGridLines="0" showZeros="0" topLeftCell="G7" zoomScaleNormal="100" workbookViewId="0">
      <selection activeCell="C19" sqref="C19"/>
    </sheetView>
  </sheetViews>
  <sheetFormatPr baseColWidth="10" defaultRowHeight="15" x14ac:dyDescent="0.2"/>
  <cols>
    <col min="1" max="1" width="30.42578125" style="9" customWidth="1"/>
    <col min="2" max="2" width="37.140625" style="10" customWidth="1"/>
    <col min="3" max="3" width="25.140625" style="10" customWidth="1"/>
    <col min="4" max="4" width="17" style="10" customWidth="1"/>
    <col min="5" max="11" width="16.7109375" style="10" customWidth="1"/>
    <col min="12" max="12" width="19.7109375" style="10" bestFit="1" customWidth="1"/>
    <col min="13" max="24" width="16.7109375" style="10" customWidth="1"/>
    <col min="25" max="16384" width="11.42578125" style="10"/>
  </cols>
  <sheetData>
    <row r="1" spans="1:28" x14ac:dyDescent="0.2">
      <c r="AA1" s="12" t="s">
        <v>7</v>
      </c>
    </row>
    <row r="2" spans="1:28" s="3" customFormat="1" ht="48" customHeight="1" x14ac:dyDescent="0.15">
      <c r="A2" s="2"/>
      <c r="D2" s="4"/>
      <c r="E2" s="4"/>
      <c r="F2" s="4"/>
      <c r="G2" s="4"/>
      <c r="H2" s="5"/>
      <c r="M2" s="11"/>
      <c r="AA2" s="13" t="s">
        <v>19</v>
      </c>
      <c r="AB2" s="14">
        <v>50</v>
      </c>
    </row>
    <row r="3" spans="1:28" s="3" customFormat="1" ht="22.5" customHeight="1" x14ac:dyDescent="0.15">
      <c r="A3" s="146" t="s">
        <v>30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AA3" s="32" t="s">
        <v>9</v>
      </c>
    </row>
    <row r="4" spans="1:28" s="3" customFormat="1" ht="22.5" customHeight="1" x14ac:dyDescent="0.15">
      <c r="A4" s="146" t="s">
        <v>31</v>
      </c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</row>
    <row r="5" spans="1:28" s="3" customFormat="1" ht="24.6" customHeight="1" x14ac:dyDescent="0.15">
      <c r="A5" s="146" t="s">
        <v>3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  <c r="U5" s="146"/>
      <c r="V5" s="146"/>
      <c r="W5" s="146"/>
      <c r="X5" s="146"/>
    </row>
    <row r="6" spans="1:28" s="3" customFormat="1" ht="24.6" customHeight="1" thickBot="1" x14ac:dyDescent="0.2">
      <c r="A6" s="91"/>
      <c r="B6" s="91"/>
      <c r="C6" s="91"/>
      <c r="D6" s="91"/>
      <c r="E6" s="91"/>
      <c r="F6" s="91"/>
      <c r="G6" s="91"/>
      <c r="H6" s="4"/>
    </row>
    <row r="7" spans="1:28" s="3" customFormat="1" ht="24.75" customHeight="1" thickBot="1" x14ac:dyDescent="0.3">
      <c r="A7" s="2"/>
      <c r="B7" s="6"/>
      <c r="C7" s="7"/>
      <c r="D7" s="7"/>
      <c r="E7" s="140" t="s">
        <v>15</v>
      </c>
      <c r="F7" s="141"/>
      <c r="G7" s="141"/>
      <c r="H7" s="141"/>
      <c r="I7" s="141"/>
      <c r="J7" s="142"/>
      <c r="K7" s="143" t="s">
        <v>32</v>
      </c>
      <c r="L7" s="144"/>
      <c r="M7" s="144"/>
      <c r="N7" s="144"/>
      <c r="O7" s="144"/>
      <c r="P7" s="144"/>
      <c r="Q7" s="145"/>
      <c r="R7" s="143" t="s">
        <v>35</v>
      </c>
      <c r="S7" s="144"/>
      <c r="T7" s="144"/>
      <c r="U7" s="144"/>
      <c r="V7" s="144"/>
      <c r="W7" s="144"/>
      <c r="X7" s="145"/>
    </row>
    <row r="8" spans="1:28" s="8" customFormat="1" ht="60.75" thickBot="1" x14ac:dyDescent="0.25">
      <c r="A8" s="15" t="s">
        <v>4</v>
      </c>
      <c r="B8" s="16" t="s">
        <v>5</v>
      </c>
      <c r="C8" s="17" t="s">
        <v>33</v>
      </c>
      <c r="D8" s="18" t="s">
        <v>0</v>
      </c>
      <c r="E8" s="16" t="s">
        <v>18</v>
      </c>
      <c r="F8" s="17" t="s">
        <v>1</v>
      </c>
      <c r="G8" s="17" t="s">
        <v>8</v>
      </c>
      <c r="H8" s="17" t="s">
        <v>10</v>
      </c>
      <c r="I8" s="17" t="s">
        <v>11</v>
      </c>
      <c r="J8" s="18" t="s">
        <v>12</v>
      </c>
      <c r="K8" s="16" t="s">
        <v>16</v>
      </c>
      <c r="L8" s="16" t="s">
        <v>18</v>
      </c>
      <c r="M8" s="17" t="s">
        <v>1</v>
      </c>
      <c r="N8" s="17" t="s">
        <v>17</v>
      </c>
      <c r="O8" s="17" t="s">
        <v>10</v>
      </c>
      <c r="P8" s="17" t="s">
        <v>11</v>
      </c>
      <c r="Q8" s="18" t="s">
        <v>12</v>
      </c>
      <c r="R8" s="16" t="s">
        <v>16</v>
      </c>
      <c r="S8" s="16" t="s">
        <v>18</v>
      </c>
      <c r="T8" s="17" t="s">
        <v>1</v>
      </c>
      <c r="U8" s="17" t="s">
        <v>17</v>
      </c>
      <c r="V8" s="80" t="s">
        <v>10</v>
      </c>
      <c r="W8" s="80" t="s">
        <v>11</v>
      </c>
      <c r="X8" s="81" t="s">
        <v>12</v>
      </c>
    </row>
    <row r="9" spans="1:28" s="3" customFormat="1" ht="66" customHeight="1" thickBot="1" x14ac:dyDescent="0.2">
      <c r="A9" s="19" t="s">
        <v>23</v>
      </c>
      <c r="B9" s="58" t="s">
        <v>26</v>
      </c>
      <c r="C9" s="22">
        <v>585000</v>
      </c>
      <c r="D9" s="23">
        <v>48</v>
      </c>
      <c r="E9" s="24">
        <v>538215</v>
      </c>
      <c r="F9" s="25">
        <f>$AB$2*(2-E9/MIN(E$9:E$10))</f>
        <v>48.902604356543932</v>
      </c>
      <c r="G9" s="25">
        <f>D9+F9</f>
        <v>96.902604356543932</v>
      </c>
      <c r="H9" s="45">
        <v>1</v>
      </c>
      <c r="I9" s="37">
        <f>+$C9/$C$18*H9</f>
        <v>0.6</v>
      </c>
      <c r="J9" s="38">
        <f>+G9*I9</f>
        <v>58.141562613926354</v>
      </c>
      <c r="K9" s="73">
        <v>6.5000000000000002E-2</v>
      </c>
      <c r="L9" s="51">
        <f>+$E9*(1-K9)</f>
        <v>503231.02500000002</v>
      </c>
      <c r="M9" s="25">
        <f>$AB$2*(2-L9/MIN(L$9:L$10))</f>
        <v>50</v>
      </c>
      <c r="N9" s="25">
        <f>$D9+M9</f>
        <v>98</v>
      </c>
      <c r="O9" s="33">
        <v>1</v>
      </c>
      <c r="P9" s="34">
        <f>+$C9/$C$18*O9</f>
        <v>0.6</v>
      </c>
      <c r="Q9" s="35">
        <f>+N9*P9</f>
        <v>58.8</v>
      </c>
      <c r="R9" s="50"/>
      <c r="S9" s="51">
        <f>+$E9*(1-R9)</f>
        <v>538215</v>
      </c>
      <c r="T9" s="25">
        <f>$AB$2*(2-S9/MIN(S$9:S$11))</f>
        <v>48.124471427963378</v>
      </c>
      <c r="U9" s="25">
        <f>$D9+T9</f>
        <v>96.124471427963385</v>
      </c>
      <c r="V9" s="46"/>
      <c r="W9" s="46"/>
      <c r="X9" s="46"/>
    </row>
    <row r="10" spans="1:28" s="3" customFormat="1" ht="35.1" customHeight="1" thickBot="1" x14ac:dyDescent="0.2">
      <c r="A10" s="20"/>
      <c r="B10" s="59" t="s">
        <v>27</v>
      </c>
      <c r="C10" s="22">
        <v>585000</v>
      </c>
      <c r="D10" s="28">
        <v>40</v>
      </c>
      <c r="E10" s="85">
        <v>526656</v>
      </c>
      <c r="F10" s="29">
        <f>$AB$2*(2-E10/MIN(E$9:E$11))</f>
        <v>50</v>
      </c>
      <c r="G10" s="29">
        <f>D10+F10</f>
        <v>90</v>
      </c>
      <c r="H10" s="46"/>
      <c r="I10" s="46"/>
      <c r="J10" s="46"/>
      <c r="K10" s="92"/>
      <c r="L10" s="53">
        <f>+$E10*(1-K10)</f>
        <v>526656</v>
      </c>
      <c r="M10" s="29">
        <f>$AB$2*(2-L10/MIN(L$9:L$10))</f>
        <v>47.672542645795737</v>
      </c>
      <c r="N10" s="29">
        <f>$D10+M10</f>
        <v>87.672542645795744</v>
      </c>
      <c r="O10" s="46"/>
      <c r="P10" s="37">
        <f>+$C10/$C$18*O10</f>
        <v>0</v>
      </c>
      <c r="Q10" s="38">
        <f t="shared" ref="Q10" si="0">+N10*P10</f>
        <v>0</v>
      </c>
      <c r="R10" s="74">
        <v>1.4999999999999999E-2</v>
      </c>
      <c r="S10" s="53">
        <f t="shared" ref="S10:S16" si="1">+$E10*(1-R10)</f>
        <v>518756.16</v>
      </c>
      <c r="T10" s="29">
        <f>$AB$2*(2-S10/MIN(S$9:S$11))</f>
        <v>50</v>
      </c>
      <c r="U10" s="29">
        <f t="shared" ref="U10:U17" si="2">$D10+T10</f>
        <v>90</v>
      </c>
      <c r="V10" s="82">
        <v>1</v>
      </c>
      <c r="W10" s="83">
        <f>+$C10/$C$18*V10</f>
        <v>0.6</v>
      </c>
      <c r="X10" s="84">
        <f>+U10*W10</f>
        <v>54</v>
      </c>
    </row>
    <row r="11" spans="1:28" s="3" customFormat="1" ht="48" customHeight="1" thickBot="1" x14ac:dyDescent="0.2">
      <c r="A11" s="20"/>
      <c r="B11" s="60" t="s">
        <v>28</v>
      </c>
      <c r="C11" s="22">
        <v>585000</v>
      </c>
      <c r="D11" s="31">
        <v>12</v>
      </c>
      <c r="E11" s="136" t="s">
        <v>36</v>
      </c>
      <c r="F11" s="137"/>
      <c r="G11" s="137"/>
      <c r="H11" s="137"/>
      <c r="I11" s="137"/>
      <c r="J11" s="138"/>
      <c r="K11" s="52"/>
      <c r="L11" s="53"/>
      <c r="M11" s="29"/>
      <c r="N11" s="29"/>
      <c r="O11" s="46"/>
      <c r="P11" s="37"/>
      <c r="Q11" s="38"/>
      <c r="R11" s="52"/>
      <c r="S11" s="53"/>
      <c r="T11" s="29"/>
      <c r="U11" s="29"/>
      <c r="V11" s="46"/>
      <c r="W11" s="37"/>
      <c r="X11" s="38"/>
    </row>
    <row r="12" spans="1:28" s="3" customFormat="1" ht="49.5" customHeight="1" x14ac:dyDescent="0.15">
      <c r="A12" s="19" t="s">
        <v>24</v>
      </c>
      <c r="B12" s="155"/>
      <c r="C12" s="133"/>
      <c r="D12" s="117" t="s">
        <v>29</v>
      </c>
      <c r="E12" s="147"/>
      <c r="F12" s="147"/>
      <c r="G12" s="147"/>
      <c r="H12" s="147"/>
      <c r="I12" s="147"/>
      <c r="J12" s="148"/>
      <c r="K12" s="50"/>
      <c r="L12" s="51"/>
      <c r="M12" s="25"/>
      <c r="N12" s="25"/>
      <c r="O12" s="48"/>
      <c r="P12" s="34"/>
      <c r="Q12" s="35"/>
      <c r="R12" s="50"/>
      <c r="S12" s="51"/>
      <c r="T12" s="25"/>
      <c r="U12" s="25"/>
      <c r="V12" s="48"/>
      <c r="W12" s="34"/>
      <c r="X12" s="35"/>
    </row>
    <row r="13" spans="1:28" s="3" customFormat="1" ht="35.1" customHeight="1" x14ac:dyDescent="0.15">
      <c r="A13" s="20"/>
      <c r="B13" s="156"/>
      <c r="C13" s="134"/>
      <c r="D13" s="149"/>
      <c r="E13" s="150"/>
      <c r="F13" s="150"/>
      <c r="G13" s="150"/>
      <c r="H13" s="150"/>
      <c r="I13" s="150"/>
      <c r="J13" s="151"/>
      <c r="K13" s="52"/>
      <c r="L13" s="53"/>
      <c r="M13" s="29"/>
      <c r="N13" s="29"/>
      <c r="O13" s="46"/>
      <c r="P13" s="37"/>
      <c r="Q13" s="38"/>
      <c r="R13" s="52"/>
      <c r="S13" s="53"/>
      <c r="T13" s="29"/>
      <c r="U13" s="29"/>
      <c r="V13" s="46"/>
      <c r="W13" s="37"/>
      <c r="X13" s="38"/>
    </row>
    <row r="14" spans="1:28" s="3" customFormat="1" ht="35.1" customHeight="1" thickBot="1" x14ac:dyDescent="0.2">
      <c r="A14" s="21"/>
      <c r="B14" s="157"/>
      <c r="C14" s="135"/>
      <c r="D14" s="152"/>
      <c r="E14" s="153"/>
      <c r="F14" s="153"/>
      <c r="G14" s="153"/>
      <c r="H14" s="153"/>
      <c r="I14" s="153"/>
      <c r="J14" s="154"/>
      <c r="K14" s="49"/>
      <c r="L14" s="54"/>
      <c r="M14" s="27"/>
      <c r="N14" s="75"/>
      <c r="O14" s="39"/>
      <c r="P14" s="40"/>
      <c r="Q14" s="41"/>
      <c r="R14" s="49"/>
      <c r="S14" s="54"/>
      <c r="T14" s="27"/>
      <c r="U14" s="75"/>
      <c r="V14" s="39"/>
      <c r="W14" s="40"/>
      <c r="X14" s="41"/>
    </row>
    <row r="15" spans="1:28" s="3" customFormat="1" ht="66" customHeight="1" thickBot="1" x14ac:dyDescent="0.2">
      <c r="A15" s="19" t="s">
        <v>25</v>
      </c>
      <c r="B15" s="58" t="s">
        <v>26</v>
      </c>
      <c r="C15" s="22">
        <v>390000</v>
      </c>
      <c r="D15" s="23">
        <v>35</v>
      </c>
      <c r="E15" s="24">
        <v>362760</v>
      </c>
      <c r="F15" s="25">
        <f>$AB$2*(2-E15/MIN(E$15:E$17))</f>
        <v>43.404350919234659</v>
      </c>
      <c r="G15" s="57">
        <f t="shared" ref="G15:G16" si="3">D15+F15</f>
        <v>78.404350919234659</v>
      </c>
      <c r="H15" s="44"/>
      <c r="I15" s="34">
        <f>+$C15/$C$18*H15</f>
        <v>0</v>
      </c>
      <c r="J15" s="35">
        <f t="shared" ref="J15:J16" si="4">+G15*I15</f>
        <v>0</v>
      </c>
      <c r="K15" s="73">
        <v>7.4999999999999997E-2</v>
      </c>
      <c r="L15" s="51">
        <f t="shared" ref="L15:L16" si="5">+$E15*(1-K15)</f>
        <v>335553</v>
      </c>
      <c r="M15" s="25">
        <f>$AB$2*(2-L15/MIN(L$15:L$15))</f>
        <v>50</v>
      </c>
      <c r="N15" s="25">
        <f t="shared" ref="N15:N16" si="6">$D15+M15</f>
        <v>85</v>
      </c>
      <c r="O15" s="36">
        <v>1</v>
      </c>
      <c r="P15" s="37">
        <f>+$C15/$C$18*O15</f>
        <v>0.4</v>
      </c>
      <c r="Q15" s="38">
        <f>+N15*P15</f>
        <v>34</v>
      </c>
      <c r="R15" s="50"/>
      <c r="S15" s="51">
        <f t="shared" si="1"/>
        <v>362760</v>
      </c>
      <c r="T15" s="25">
        <f>$AB$2*(2-S15/MIN(S$15:S$17))</f>
        <v>42.542488242877816</v>
      </c>
      <c r="U15" s="25">
        <f t="shared" si="2"/>
        <v>77.542488242877823</v>
      </c>
      <c r="V15" s="48"/>
      <c r="W15" s="34">
        <f>+$C15/$C$18*V15</f>
        <v>0</v>
      </c>
      <c r="X15" s="35">
        <f t="shared" ref="X15:X17" si="7">+U15*W15</f>
        <v>0</v>
      </c>
    </row>
    <row r="16" spans="1:28" s="3" customFormat="1" ht="35.1" customHeight="1" thickBot="1" x14ac:dyDescent="0.2">
      <c r="A16" s="20"/>
      <c r="B16" s="59" t="s">
        <v>27</v>
      </c>
      <c r="C16" s="22">
        <v>390000</v>
      </c>
      <c r="D16" s="28">
        <v>50</v>
      </c>
      <c r="E16" s="85">
        <v>320484</v>
      </c>
      <c r="F16" s="29">
        <f>$AB$2*(2-E16/MIN(E$15:E$17))</f>
        <v>50</v>
      </c>
      <c r="G16" s="86">
        <f t="shared" si="3"/>
        <v>100</v>
      </c>
      <c r="H16" s="45">
        <v>1</v>
      </c>
      <c r="I16" s="37">
        <f>+$C16/$C$18*H16</f>
        <v>0.4</v>
      </c>
      <c r="J16" s="38">
        <f t="shared" si="4"/>
        <v>40</v>
      </c>
      <c r="K16" s="52"/>
      <c r="L16" s="53">
        <f t="shared" si="5"/>
        <v>320484</v>
      </c>
      <c r="M16" s="29">
        <f>$AB$2*(2-L16/MIN(L$15:L$16))</f>
        <v>50</v>
      </c>
      <c r="N16" s="29">
        <f t="shared" si="6"/>
        <v>100</v>
      </c>
      <c r="R16" s="74">
        <v>1.4999999999999999E-2</v>
      </c>
      <c r="S16" s="53">
        <f t="shared" si="1"/>
        <v>315676.74</v>
      </c>
      <c r="T16" s="29">
        <f>$AB$2*(2-S16/MIN(S$15:S$17))</f>
        <v>50</v>
      </c>
      <c r="U16" s="29">
        <f t="shared" si="2"/>
        <v>100</v>
      </c>
      <c r="V16" s="36">
        <v>1</v>
      </c>
      <c r="W16" s="37">
        <f>+$C16/$C$18*V16</f>
        <v>0.4</v>
      </c>
      <c r="X16" s="38">
        <f t="shared" si="7"/>
        <v>40</v>
      </c>
      <c r="Z16" s="88"/>
    </row>
    <row r="17" spans="1:24" s="3" customFormat="1" ht="45.75" customHeight="1" thickBot="1" x14ac:dyDescent="0.2">
      <c r="A17" s="21"/>
      <c r="B17" s="60" t="s">
        <v>28</v>
      </c>
      <c r="C17" s="22">
        <v>390000</v>
      </c>
      <c r="D17" s="26">
        <v>0</v>
      </c>
      <c r="E17" s="136" t="s">
        <v>36</v>
      </c>
      <c r="F17" s="137"/>
      <c r="G17" s="137"/>
      <c r="H17" s="137"/>
      <c r="I17" s="137"/>
      <c r="J17" s="138"/>
      <c r="K17" s="49"/>
      <c r="L17" s="54"/>
      <c r="M17" s="27"/>
      <c r="N17" s="27"/>
      <c r="O17" s="47"/>
      <c r="P17" s="40"/>
      <c r="Q17" s="41"/>
      <c r="R17" s="49"/>
      <c r="S17" s="54"/>
      <c r="T17" s="27"/>
      <c r="U17" s="27">
        <f t="shared" si="2"/>
        <v>0</v>
      </c>
      <c r="V17" s="47"/>
      <c r="W17" s="40">
        <f>+$C17/$C$18*V17</f>
        <v>0</v>
      </c>
      <c r="X17" s="41">
        <f t="shared" si="7"/>
        <v>0</v>
      </c>
    </row>
    <row r="18" spans="1:24" ht="42.75" customHeight="1" thickBot="1" x14ac:dyDescent="0.25">
      <c r="B18" s="42" t="s">
        <v>13</v>
      </c>
      <c r="C18" s="43">
        <f>+C9+C12+C15</f>
        <v>975000</v>
      </c>
      <c r="F18" s="89"/>
      <c r="I18" s="55" t="s">
        <v>14</v>
      </c>
      <c r="J18" s="56">
        <f>SUM(J9:J17)</f>
        <v>98.141562613926354</v>
      </c>
      <c r="O18" s="87"/>
      <c r="P18" s="55" t="s">
        <v>14</v>
      </c>
      <c r="Q18" s="56">
        <f>SUM(Q9:Q17)</f>
        <v>92.8</v>
      </c>
      <c r="S18" s="89"/>
      <c r="T18" s="90"/>
      <c r="W18" s="55" t="s">
        <v>14</v>
      </c>
      <c r="X18" s="56">
        <f>SUM(X9:X17)</f>
        <v>94</v>
      </c>
    </row>
    <row r="19" spans="1:24" x14ac:dyDescent="0.2">
      <c r="S19" s="89"/>
      <c r="T19" s="90"/>
    </row>
    <row r="20" spans="1:24" x14ac:dyDescent="0.2">
      <c r="S20" s="90"/>
      <c r="T20" s="90"/>
    </row>
    <row r="21" spans="1:24" ht="14.25" x14ac:dyDescent="0.2">
      <c r="A21" s="1" t="s">
        <v>2</v>
      </c>
      <c r="K21" s="76"/>
    </row>
    <row r="22" spans="1:24" ht="14.25" x14ac:dyDescent="0.2">
      <c r="A22" s="1" t="s">
        <v>6</v>
      </c>
    </row>
    <row r="24" spans="1:24" ht="56.25" customHeight="1" x14ac:dyDescent="0.2">
      <c r="A24" s="139"/>
      <c r="B24" s="139"/>
      <c r="C24" s="139"/>
      <c r="D24" s="139"/>
      <c r="E24" s="139"/>
      <c r="F24" s="139"/>
      <c r="G24" s="139"/>
    </row>
    <row r="26" spans="1:24" x14ac:dyDescent="0.2">
      <c r="A26" s="79"/>
    </row>
  </sheetData>
  <mergeCells count="12">
    <mergeCell ref="A24:G24"/>
    <mergeCell ref="A3:X3"/>
    <mergeCell ref="A4:X4"/>
    <mergeCell ref="A5:X5"/>
    <mergeCell ref="E7:J7"/>
    <mergeCell ref="K7:Q7"/>
    <mergeCell ref="R7:X7"/>
    <mergeCell ref="E11:J11"/>
    <mergeCell ref="B12:B14"/>
    <mergeCell ref="C12:C14"/>
    <mergeCell ref="D12:J14"/>
    <mergeCell ref="E17:J17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ALTERNATIVA ADJUDICADA</vt:lpstr>
      <vt:lpstr>valoración</vt:lpstr>
      <vt:lpstr>valoración (2)</vt:lpstr>
      <vt:lpstr>'ALTERNATIVA ADJUDICADA'!Área_de_impresión</vt:lpstr>
      <vt:lpstr>valoración!Área_de_impresión</vt:lpstr>
      <vt:lpstr>'valoración (2)'!Área_de_impresión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Isabel Espejo Badiola</cp:lastModifiedBy>
  <cp:lastPrinted>2021-11-19T11:28:43Z</cp:lastPrinted>
  <dcterms:created xsi:type="dcterms:W3CDTF">2007-03-30T09:59:06Z</dcterms:created>
  <dcterms:modified xsi:type="dcterms:W3CDTF">2023-02-21T06:11:41Z</dcterms:modified>
</cp:coreProperties>
</file>