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OPERACIONES_MEDIOS\2022\EXPEDIENTES COMITE\4 - ADJUDICACION\S-05551-2022 Renovación de la continuidad de Sant Cugat y adaptación a tecnología IP\Informes\"/>
    </mc:Choice>
  </mc:AlternateContent>
  <xr:revisionPtr revIDLastSave="0" documentId="13_ncr:1_{B1A256F8-E8EE-4886-8D6C-B8851AE74307}" xr6:coauthVersionLast="36" xr6:coauthVersionMax="36" xr10:uidLastSave="{00000000-0000-0000-0000-000000000000}"/>
  <bookViews>
    <workbookView xWindow="0" yWindow="0" windowWidth="28800" windowHeight="11400" tabRatio="752" activeTab="1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ADJUDICADA'!$A$1:$K$21</definedName>
    <definedName name="_xlnm.Print_Area" localSheetId="1">valoración!$A$2:$Q$21</definedName>
  </definedNames>
  <calcPr calcId="191029"/>
</workbook>
</file>

<file path=xl/calcChain.xml><?xml version="1.0" encoding="utf-8"?>
<calcChain xmlns="http://schemas.openxmlformats.org/spreadsheetml/2006/main">
  <c r="L13" i="5" l="1"/>
  <c r="J9" i="5"/>
  <c r="F12" i="5"/>
  <c r="G12" i="5" s="1"/>
  <c r="F11" i="5"/>
  <c r="F9" i="5"/>
  <c r="J17" i="6"/>
  <c r="K9" i="6"/>
  <c r="C17" i="6"/>
  <c r="I14" i="5"/>
  <c r="I13" i="5"/>
  <c r="I11" i="5"/>
  <c r="I9" i="5"/>
  <c r="M11" i="5"/>
  <c r="M12" i="5"/>
  <c r="M13" i="5"/>
  <c r="M14" i="5"/>
  <c r="M15" i="5"/>
  <c r="M9" i="5"/>
  <c r="L16" i="5"/>
  <c r="M16" i="5" s="1"/>
  <c r="L15" i="5"/>
  <c r="L14" i="5"/>
  <c r="L12" i="5"/>
  <c r="L11" i="5"/>
  <c r="F14" i="5"/>
  <c r="F16" i="5"/>
  <c r="F15" i="5"/>
  <c r="F13" i="5"/>
  <c r="C17" i="5" l="1"/>
  <c r="G13" i="5" l="1"/>
  <c r="K16" i="6" l="1"/>
  <c r="K15" i="6"/>
  <c r="K14" i="6"/>
  <c r="K13" i="6"/>
  <c r="K12" i="6"/>
  <c r="K11" i="6"/>
  <c r="A4" i="6" l="1"/>
  <c r="A3" i="6"/>
  <c r="A2" i="6"/>
  <c r="G16" i="5" l="1"/>
  <c r="G15" i="5"/>
  <c r="G14" i="5"/>
  <c r="G11" i="5"/>
  <c r="Q10" i="5"/>
  <c r="N9" i="5"/>
  <c r="G9" i="5"/>
  <c r="P9" i="5" l="1"/>
  <c r="Q9" i="5" s="1"/>
  <c r="J14" i="5"/>
  <c r="P14" i="5"/>
  <c r="J11" i="5"/>
  <c r="I15" i="5"/>
  <c r="J15" i="5" s="1"/>
  <c r="N16" i="5"/>
  <c r="I16" i="5"/>
  <c r="J16" i="5" s="1"/>
  <c r="P13" i="5"/>
  <c r="I12" i="5"/>
  <c r="J12" i="5" s="1"/>
  <c r="J13" i="5"/>
  <c r="P12" i="5"/>
  <c r="N11" i="5"/>
  <c r="N14" i="5"/>
  <c r="N12" i="5"/>
  <c r="N13" i="5"/>
  <c r="N15" i="5"/>
  <c r="P16" i="5"/>
  <c r="P11" i="5"/>
  <c r="P15" i="5"/>
  <c r="J17" i="5" l="1"/>
  <c r="Q16" i="5"/>
  <c r="Q13" i="5"/>
  <c r="Q14" i="5"/>
  <c r="Q12" i="5"/>
  <c r="Q11" i="5"/>
  <c r="Q15" i="5"/>
  <c r="Q17" i="5" l="1"/>
</calcChain>
</file>

<file path=xl/sharedStrings.xml><?xml version="1.0" encoding="utf-8"?>
<sst xmlns="http://schemas.openxmlformats.org/spreadsheetml/2006/main" count="72" uniqueCount="41">
  <si>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</si>
  <si>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</si>
  <si>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</si>
  <si>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</si>
  <si>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</si>
  <si>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</si>
  <si>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</si>
  <si>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</si>
  <si>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</si>
  <si>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</si>
  <si>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</si>
  <si>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</si>
  <si>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</si>
  <si>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</si>
  <si>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</si>
  <si>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</si>
  <si>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</si>
  <si>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</si>
  <si>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</si>
  <si>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</si>
  <si>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PROPUESTA DE ADJUDICACIÓN DEL EXPEDIENTE S-05551-2022</t>
  </si>
  <si>
    <t>"Renovación de la continuidad de Sant Cugat y adaptación a tecnología IP"</t>
  </si>
  <si>
    <t>LOTE 1: Equipamiento auxiliar</t>
  </si>
  <si>
    <t>PROVITEC INSTAL.SISTEMAS, SL</t>
  </si>
  <si>
    <t>ALBALA INGENIEROS, SA</t>
  </si>
  <si>
    <t>Importe Oferta</t>
  </si>
  <si>
    <t>Telefonica Serv Audiovisuales SAU</t>
  </si>
  <si>
    <t>LOTE 2: Monitorado de video</t>
  </si>
  <si>
    <r>
      <t>Importe Oferta</t>
    </r>
    <r>
      <rPr>
        <b/>
        <i/>
        <sz val="12"/>
        <rFont val="Tahoma"/>
        <family val="2"/>
      </rPr>
      <t xml:space="preserve"> </t>
    </r>
  </si>
  <si>
    <t>Telefonica Servicios Audiovisuales S.A.U.</t>
  </si>
  <si>
    <t>Servicios Integrales Unitecnic, S.L.</t>
  </si>
  <si>
    <t>LOTE 3: Monitorado de audio</t>
  </si>
  <si>
    <t>LOTE 4: Equipamiento e integra. con infraestructura 2110</t>
  </si>
  <si>
    <t>Aicox soluciones S.A.</t>
  </si>
  <si>
    <t>Madrid, a 2 de marzo de 2023</t>
  </si>
  <si>
    <t>Alternativa 2: oferta conjunta "Unitecnic" por los lotes 3 y 4</t>
  </si>
  <si>
    <t>INADMITIDA: Por no acreditar la solvencia técnica (ISO 14001) solicitada en el punto 8 del Anexo II del Pliego de Condiciones Generales.</t>
  </si>
  <si>
    <t>Albala Ingenieros, SA</t>
  </si>
  <si>
    <t>Provitec Instal. Sistemas, SL</t>
  </si>
  <si>
    <t xml:space="preserve">Valor estimado </t>
  </si>
  <si>
    <t>Valor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</si>
</sst>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28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4" fontId="6" fillId="0" borderId="16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20" xfId="0" applyNumberFormat="1" applyFont="1" applyFill="1" applyBorder="1" applyAlignment="1">
      <alignment horizontal="right" vertical="center" wrapText="1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16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3" xfId="0" applyNumberFormat="1" applyFont="1" applyFill="1" applyBorder="1" applyAlignment="1">
      <alignment horizontal="left" vertical="top" wrapText="1"/>
    </xf>
    <xf numFmtId="164" fontId="5" fillId="0" borderId="24" xfId="2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4" fontId="9" fillId="4" borderId="12" xfId="0" applyNumberFormat="1" applyFont="1" applyFill="1" applyBorder="1" applyAlignment="1">
      <alignment horizontal="right" vertical="center" indent="1"/>
    </xf>
    <xf numFmtId="0" fontId="0" fillId="5" borderId="0" xfId="0" applyFill="1"/>
    <xf numFmtId="10" fontId="5" fillId="5" borderId="12" xfId="0" applyNumberFormat="1" applyFont="1" applyFill="1" applyBorder="1" applyAlignment="1">
      <alignment horizontal="center" vertical="center"/>
    </xf>
    <xf numFmtId="164" fontId="5" fillId="5" borderId="13" xfId="2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right" vertical="center" indent="1"/>
    </xf>
    <xf numFmtId="0" fontId="1" fillId="5" borderId="2" xfId="0" applyFont="1" applyFill="1" applyBorder="1"/>
    <xf numFmtId="10" fontId="5" fillId="5" borderId="2" xfId="0" applyNumberFormat="1" applyFont="1" applyFill="1" applyBorder="1" applyAlignment="1">
      <alignment horizontal="center" vertical="center"/>
    </xf>
    <xf numFmtId="164" fontId="5" fillId="5" borderId="14" xfId="2" applyFont="1" applyFill="1" applyBorder="1" applyAlignment="1">
      <alignment horizontal="center" vertical="center"/>
    </xf>
    <xf numFmtId="4" fontId="6" fillId="5" borderId="25" xfId="0" applyNumberFormat="1" applyFont="1" applyFill="1" applyBorder="1" applyAlignment="1">
      <alignment horizontal="center" vertical="center"/>
    </xf>
    <xf numFmtId="165" fontId="5" fillId="5" borderId="16" xfId="2" applyNumberFormat="1" applyFont="1" applyFill="1" applyBorder="1" applyAlignment="1">
      <alignment horizontal="center" vertical="center"/>
    </xf>
    <xf numFmtId="10" fontId="5" fillId="5" borderId="16" xfId="0" applyNumberFormat="1" applyFont="1" applyFill="1" applyBorder="1" applyAlignment="1">
      <alignment horizontal="center" vertical="center"/>
    </xf>
    <xf numFmtId="164" fontId="5" fillId="5" borderId="17" xfId="2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16" fillId="5" borderId="23" xfId="0" applyNumberFormat="1" applyFont="1" applyFill="1" applyBorder="1" applyAlignment="1">
      <alignment horizontal="right" vertical="top" wrapText="1"/>
    </xf>
    <xf numFmtId="164" fontId="5" fillId="5" borderId="24" xfId="2" applyFont="1" applyFill="1" applyBorder="1" applyAlignment="1">
      <alignment horizontal="center" vertical="center"/>
    </xf>
    <xf numFmtId="0" fontId="5" fillId="5" borderId="6" xfId="0" applyFont="1" applyFill="1" applyBorder="1"/>
    <xf numFmtId="10" fontId="5" fillId="0" borderId="11" xfId="3" applyNumberFormat="1" applyFont="1" applyFill="1" applyBorder="1" applyAlignment="1">
      <alignment horizontal="center" vertical="center"/>
    </xf>
    <xf numFmtId="4" fontId="9" fillId="0" borderId="12" xfId="0" applyNumberFormat="1" applyFont="1" applyFill="1" applyBorder="1" applyAlignment="1">
      <alignment horizontal="right" vertical="center" indent="1"/>
    </xf>
    <xf numFmtId="166" fontId="17" fillId="0" borderId="3" xfId="0" applyNumberFormat="1" applyFont="1" applyFill="1" applyBorder="1" applyAlignment="1">
      <alignment horizontal="center" vertical="center"/>
    </xf>
    <xf numFmtId="166" fontId="6" fillId="0" borderId="9" xfId="0" applyNumberFormat="1" applyFont="1" applyFill="1" applyBorder="1" applyAlignment="1">
      <alignment horizontal="center" vertical="center"/>
    </xf>
    <xf numFmtId="166" fontId="6" fillId="0" borderId="18" xfId="0" applyNumberFormat="1" applyFont="1" applyFill="1" applyBorder="1" applyAlignment="1">
      <alignment vertical="center"/>
    </xf>
    <xf numFmtId="166" fontId="6" fillId="0" borderId="26" xfId="0" applyNumberFormat="1" applyFont="1" applyFill="1" applyBorder="1" applyAlignment="1">
      <alignment vertical="center"/>
    </xf>
    <xf numFmtId="4" fontId="6" fillId="4" borderId="1" xfId="0" applyNumberFormat="1" applyFont="1" applyFill="1" applyBorder="1" applyAlignment="1">
      <alignment horizontal="center" vertical="center"/>
    </xf>
    <xf numFmtId="4" fontId="6" fillId="5" borderId="20" xfId="0" applyNumberFormat="1" applyFont="1" applyFill="1" applyBorder="1" applyAlignment="1">
      <alignment horizontal="center" vertical="center"/>
    </xf>
    <xf numFmtId="166" fontId="5" fillId="5" borderId="2" xfId="0" applyNumberFormat="1" applyFont="1" applyFill="1" applyBorder="1" applyAlignment="1">
      <alignment horizontal="left" vertical="center" indent="1"/>
    </xf>
    <xf numFmtId="166" fontId="5" fillId="0" borderId="19" xfId="0" applyNumberFormat="1" applyFont="1" applyFill="1" applyBorder="1" applyAlignment="1">
      <alignment vertical="center"/>
    </xf>
    <xf numFmtId="4" fontId="6" fillId="0" borderId="25" xfId="0" applyNumberFormat="1" applyFont="1" applyFill="1" applyBorder="1" applyAlignment="1">
      <alignment horizontal="center" vertical="center"/>
    </xf>
    <xf numFmtId="0" fontId="6" fillId="4" borderId="1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9" fontId="18" fillId="5" borderId="4" xfId="3" applyFont="1" applyFill="1" applyBorder="1" applyAlignment="1">
      <alignment horizontal="left" vertical="center"/>
    </xf>
    <xf numFmtId="9" fontId="18" fillId="5" borderId="21" xfId="3" applyFont="1" applyFill="1" applyBorder="1" applyAlignment="1">
      <alignment horizontal="left" vertical="center"/>
    </xf>
    <xf numFmtId="9" fontId="18" fillId="5" borderId="22" xfId="3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21" xfId="2" applyNumberFormat="1" applyFont="1" applyFill="1" applyBorder="1" applyAlignment="1">
      <alignment horizontal="left" vertical="center"/>
    </xf>
    <xf numFmtId="165" fontId="18" fillId="0" borderId="22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21" xfId="3" applyFont="1" applyFill="1" applyBorder="1" applyAlignment="1">
      <alignment horizontal="left" vertical="center"/>
    </xf>
    <xf numFmtId="9" fontId="18" fillId="0" borderId="22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166" fontId="6" fillId="0" borderId="27" xfId="0" applyNumberFormat="1" applyFont="1" applyFill="1" applyBorder="1" applyAlignment="1">
      <alignment horizontal="center" vertical="center"/>
    </xf>
    <xf numFmtId="166" fontId="6" fillId="0" borderId="28" xfId="0" applyNumberFormat="1" applyFont="1" applyFill="1" applyBorder="1" applyAlignment="1">
      <alignment horizontal="center" vertical="center"/>
    </xf>
    <xf numFmtId="4" fontId="6" fillId="0" borderId="27" xfId="0" applyNumberFormat="1" applyFont="1" applyFill="1" applyBorder="1" applyAlignment="1">
      <alignment horizontal="right" vertical="center" indent="1"/>
    </xf>
    <xf numFmtId="4" fontId="9" fillId="0" borderId="13" xfId="0" applyNumberFormat="1" applyFont="1" applyFill="1" applyBorder="1" applyAlignment="1">
      <alignment horizontal="right" vertical="center" indent="1"/>
    </xf>
    <xf numFmtId="166" fontId="6" fillId="0" borderId="23" xfId="0" applyNumberFormat="1" applyFont="1" applyFill="1" applyBorder="1" applyAlignment="1">
      <alignment horizontal="right" vertical="center" indent="1"/>
    </xf>
    <xf numFmtId="4" fontId="6" fillId="0" borderId="28" xfId="0" applyNumberFormat="1" applyFont="1" applyFill="1" applyBorder="1" applyAlignment="1">
      <alignment horizontal="right" vertical="center" indent="1"/>
    </xf>
    <xf numFmtId="4" fontId="6" fillId="0" borderId="24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right" vertical="center" indent="1"/>
    </xf>
    <xf numFmtId="10" fontId="5" fillId="0" borderId="29" xfId="3" applyNumberFormat="1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left" vertical="center" wrapText="1"/>
    </xf>
    <xf numFmtId="0" fontId="9" fillId="3" borderId="31" xfId="0" applyFont="1" applyFill="1" applyBorder="1" applyAlignment="1">
      <alignment horizontal="left" vertical="center" wrapText="1"/>
    </xf>
    <xf numFmtId="0" fontId="9" fillId="3" borderId="32" xfId="0" applyFont="1" applyFill="1" applyBorder="1" applyAlignment="1">
      <alignment vertical="center" wrapText="1"/>
    </xf>
    <xf numFmtId="0" fontId="6" fillId="0" borderId="33" xfId="0" applyNumberFormat="1" applyFont="1" applyFill="1" applyBorder="1" applyAlignment="1">
      <alignment horizontal="center" vertical="center" wrapText="1"/>
    </xf>
    <xf numFmtId="166" fontId="6" fillId="0" borderId="34" xfId="0" applyNumberFormat="1" applyFont="1" applyFill="1" applyBorder="1" applyAlignment="1">
      <alignment horizontal="center" vertical="center"/>
    </xf>
    <xf numFmtId="4" fontId="6" fillId="0" borderId="35" xfId="0" applyNumberFormat="1" applyFont="1" applyFill="1" applyBorder="1" applyAlignment="1">
      <alignment horizontal="center" vertical="center"/>
    </xf>
    <xf numFmtId="166" fontId="6" fillId="0" borderId="33" xfId="0" applyNumberFormat="1" applyFont="1" applyFill="1" applyBorder="1" applyAlignment="1">
      <alignment horizontal="right" vertical="center" indent="1"/>
    </xf>
    <xf numFmtId="4" fontId="6" fillId="0" borderId="36" xfId="0" applyNumberFormat="1" applyFont="1" applyFill="1" applyBorder="1" applyAlignment="1">
      <alignment horizontal="right" vertical="center" indent="1"/>
    </xf>
    <xf numFmtId="165" fontId="5" fillId="0" borderId="33" xfId="2" applyNumberFormat="1" applyFont="1" applyFill="1" applyBorder="1" applyAlignment="1">
      <alignment horizontal="center" vertical="center"/>
    </xf>
    <xf numFmtId="10" fontId="5" fillId="0" borderId="37" xfId="0" applyNumberFormat="1" applyFont="1" applyFill="1" applyBorder="1" applyAlignment="1">
      <alignment horizontal="center" vertical="center"/>
    </xf>
    <xf numFmtId="164" fontId="5" fillId="0" borderId="35" xfId="2" applyFont="1" applyFill="1" applyBorder="1" applyAlignment="1">
      <alignment horizontal="center" vertical="center"/>
    </xf>
    <xf numFmtId="10" fontId="5" fillId="0" borderId="33" xfId="3" applyNumberFormat="1" applyFont="1" applyFill="1" applyBorder="1" applyAlignment="1">
      <alignment horizontal="center" vertical="center"/>
    </xf>
    <xf numFmtId="166" fontId="6" fillId="0" borderId="37" xfId="0" applyNumberFormat="1" applyFont="1" applyFill="1" applyBorder="1" applyAlignment="1">
      <alignment horizontal="right" vertical="center" indent="1"/>
    </xf>
    <xf numFmtId="4" fontId="6" fillId="0" borderId="37" xfId="0" applyNumberFormat="1" applyFont="1" applyFill="1" applyBorder="1" applyAlignment="1">
      <alignment horizontal="right" vertical="center" indent="1"/>
    </xf>
    <xf numFmtId="165" fontId="5" fillId="0" borderId="37" xfId="2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right" vertical="center" wrapText="1"/>
    </xf>
    <xf numFmtId="4" fontId="6" fillId="0" borderId="34" xfId="0" applyNumberFormat="1" applyFont="1" applyFill="1" applyBorder="1" applyAlignment="1">
      <alignment horizontal="right" vertical="center" inden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"/>
  <sheetViews>
    <sheetView workbookViewId="0">
      <selection activeCell="A3" sqref="A3:J3"/>
    </sheetView>
  </sheetViews>
  <sheetFormatPr baseColWidth="10" defaultRowHeight="12.75" x14ac:dyDescent="0.2"/>
  <cols>
    <col min="1" max="1" width="32.85546875" customWidth="1"/>
    <col min="2" max="2" width="24.5703125" customWidth="1"/>
    <col min="3" max="3" width="29.5703125" customWidth="1"/>
    <col min="4" max="4" width="21.140625" customWidth="1"/>
    <col min="5" max="5" width="20.42578125" customWidth="1"/>
    <col min="6" max="10" width="16.7109375" customWidth="1"/>
    <col min="11" max="11" width="18.28515625" customWidth="1"/>
  </cols>
  <sheetData>
    <row r="1" spans="1:11" ht="48" customHeight="1" x14ac:dyDescent="0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18" x14ac:dyDescent="0.25">
      <c r="A2" s="92" t="str">
        <f>valoración!A3</f>
        <v>PROPUESTA DE ADJUDICACIÓN DEL EXPEDIENTE S-05551-2022</v>
      </c>
      <c r="B2" s="92"/>
      <c r="C2" s="92"/>
      <c r="D2" s="92"/>
      <c r="E2" s="92"/>
      <c r="F2" s="92"/>
      <c r="G2" s="92"/>
      <c r="H2" s="92"/>
      <c r="I2" s="92"/>
      <c r="J2" s="92"/>
      <c r="K2" s="60"/>
    </row>
    <row r="3" spans="1:11" ht="18" x14ac:dyDescent="0.25">
      <c r="A3" s="92" t="str">
        <f>valoración!A4</f>
        <v>"Renovación de la continuidad de Sant Cugat y adaptación a tecnología IP"</v>
      </c>
      <c r="B3" s="92"/>
      <c r="C3" s="92"/>
      <c r="D3" s="92"/>
      <c r="E3" s="92"/>
      <c r="F3" s="92"/>
      <c r="G3" s="92"/>
      <c r="H3" s="92"/>
      <c r="I3" s="92"/>
      <c r="J3" s="92"/>
      <c r="K3" s="60"/>
    </row>
    <row r="4" spans="1:11" ht="18" x14ac:dyDescent="0.25">
      <c r="A4" s="92" t="str">
        <f>valoración!A5</f>
        <v>RESUMEN PUNTUACIÓN TÉCNICA Y ECONÓMICA</v>
      </c>
      <c r="B4" s="92"/>
      <c r="C4" s="92"/>
      <c r="D4" s="92"/>
      <c r="E4" s="92"/>
      <c r="F4" s="92"/>
      <c r="G4" s="92"/>
      <c r="H4" s="92"/>
      <c r="I4" s="92"/>
      <c r="J4" s="92"/>
      <c r="K4" s="60"/>
    </row>
    <row r="5" spans="1:11" x14ac:dyDescent="0.2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</row>
    <row r="6" spans="1:11" ht="13.5" thickBot="1" x14ac:dyDescent="0.25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</row>
    <row r="7" spans="1:11" ht="30.75" customHeight="1" thickBot="1" x14ac:dyDescent="0.25">
      <c r="A7" s="60"/>
      <c r="B7" s="60"/>
      <c r="C7" s="60"/>
      <c r="D7" s="60"/>
      <c r="E7" s="89" t="s">
        <v>14</v>
      </c>
      <c r="F7" s="90"/>
      <c r="G7" s="90"/>
      <c r="H7" s="90"/>
      <c r="I7" s="90"/>
      <c r="J7" s="91"/>
      <c r="K7" s="60"/>
    </row>
    <row r="8" spans="1:11" ht="30.75" thickBot="1" x14ac:dyDescent="0.25">
      <c r="A8" s="15" t="s">
        <v>4</v>
      </c>
      <c r="B8" s="16" t="s">
        <v>5</v>
      </c>
      <c r="C8" s="17" t="s">
        <v>39</v>
      </c>
      <c r="D8" s="18" t="s">
        <v>0</v>
      </c>
      <c r="E8" s="16" t="s">
        <v>25</v>
      </c>
      <c r="F8" s="17" t="s">
        <v>1</v>
      </c>
      <c r="G8" s="17" t="s">
        <v>16</v>
      </c>
      <c r="H8" s="17" t="s">
        <v>9</v>
      </c>
      <c r="I8" s="17" t="s">
        <v>10</v>
      </c>
      <c r="J8" s="18" t="s">
        <v>11</v>
      </c>
      <c r="K8" s="17" t="s">
        <v>19</v>
      </c>
    </row>
    <row r="9" spans="1:11" ht="35.1" customHeight="1" thickBot="1" x14ac:dyDescent="0.25">
      <c r="A9" s="19" t="s">
        <v>22</v>
      </c>
      <c r="B9" s="87" t="s">
        <v>37</v>
      </c>
      <c r="C9" s="22">
        <v>25000</v>
      </c>
      <c r="D9" s="23">
        <v>13</v>
      </c>
      <c r="E9" s="54">
        <v>22509.439999999999</v>
      </c>
      <c r="F9" s="55">
        <v>87</v>
      </c>
      <c r="G9" s="59">
        <v>100</v>
      </c>
      <c r="H9" s="68">
        <v>1</v>
      </c>
      <c r="I9" s="61">
        <v>7.3964497041420114E-3</v>
      </c>
      <c r="J9" s="62">
        <v>0.73964497041420119</v>
      </c>
      <c r="K9" s="82">
        <f>100-($E9*100/$C9)</f>
        <v>9.9622399999999942</v>
      </c>
    </row>
    <row r="10" spans="1:11" ht="35.1" customHeight="1" thickBot="1" x14ac:dyDescent="0.25">
      <c r="A10" s="21"/>
      <c r="B10" s="58" t="s">
        <v>38</v>
      </c>
      <c r="C10" s="22">
        <v>25000</v>
      </c>
      <c r="D10" s="84" t="s">
        <v>36</v>
      </c>
      <c r="F10" s="63"/>
      <c r="G10" s="63"/>
      <c r="H10" s="64"/>
      <c r="I10" s="65"/>
      <c r="J10" s="66"/>
      <c r="K10" s="83"/>
    </row>
    <row r="11" spans="1:11" ht="35.1" customHeight="1" thickBot="1" x14ac:dyDescent="0.25">
      <c r="A11" s="19" t="s">
        <v>27</v>
      </c>
      <c r="B11" s="87" t="s">
        <v>26</v>
      </c>
      <c r="C11" s="22">
        <v>125000</v>
      </c>
      <c r="D11" s="23">
        <v>14</v>
      </c>
      <c r="E11" s="54">
        <v>120904.12</v>
      </c>
      <c r="F11" s="55">
        <v>86</v>
      </c>
      <c r="G11" s="59">
        <v>100</v>
      </c>
      <c r="H11" s="68">
        <v>1</v>
      </c>
      <c r="I11" s="65">
        <v>3.6982248520710061E-2</v>
      </c>
      <c r="J11" s="66">
        <v>3.6982248520710059</v>
      </c>
      <c r="K11" s="82">
        <f t="shared" ref="K11:K16" si="0">100-($E11*100/$C11)</f>
        <v>3.2767039999999952</v>
      </c>
    </row>
    <row r="12" spans="1:11" ht="35.1" customHeight="1" thickBot="1" x14ac:dyDescent="0.25">
      <c r="A12" s="19" t="s">
        <v>31</v>
      </c>
      <c r="B12" s="87" t="s">
        <v>29</v>
      </c>
      <c r="C12" s="22">
        <v>115000</v>
      </c>
      <c r="D12" s="23">
        <v>12.5</v>
      </c>
      <c r="E12" s="54">
        <v>103636.13</v>
      </c>
      <c r="F12" s="55">
        <v>85.230287742608795</v>
      </c>
      <c r="G12" s="59">
        <v>97.730287742608795</v>
      </c>
      <c r="H12" s="68"/>
      <c r="I12" s="61">
        <v>0</v>
      </c>
      <c r="J12" s="62">
        <v>0</v>
      </c>
      <c r="K12" s="82">
        <f t="shared" si="0"/>
        <v>9.8816260869565156</v>
      </c>
    </row>
    <row r="13" spans="1:11" ht="35.1" customHeight="1" thickBot="1" x14ac:dyDescent="0.25">
      <c r="A13" s="20"/>
      <c r="B13" s="57" t="s">
        <v>30</v>
      </c>
      <c r="C13" s="22">
        <v>115000</v>
      </c>
      <c r="D13" s="28">
        <v>9.5</v>
      </c>
      <c r="E13" s="48">
        <v>102716.8</v>
      </c>
      <c r="F13" s="25">
        <v>86</v>
      </c>
      <c r="G13" s="25">
        <v>95.5</v>
      </c>
      <c r="H13" s="68">
        <v>1</v>
      </c>
      <c r="I13" s="65">
        <v>3.4023668639053255E-2</v>
      </c>
      <c r="J13" s="66">
        <v>3.2492603550295858</v>
      </c>
      <c r="K13" s="88">
        <f t="shared" si="0"/>
        <v>10.681043478260875</v>
      </c>
    </row>
    <row r="14" spans="1:11" ht="35.1" customHeight="1" thickBot="1" x14ac:dyDescent="0.25">
      <c r="A14" s="93" t="s">
        <v>32</v>
      </c>
      <c r="B14" s="87" t="s">
        <v>29</v>
      </c>
      <c r="C14" s="22">
        <v>3115000</v>
      </c>
      <c r="D14" s="23">
        <v>46</v>
      </c>
      <c r="E14" s="54">
        <v>2715078.12</v>
      </c>
      <c r="F14" s="55">
        <v>45.235792422120866</v>
      </c>
      <c r="G14" s="59">
        <v>91.235792422120866</v>
      </c>
      <c r="H14" s="68">
        <v>1</v>
      </c>
      <c r="I14" s="69">
        <v>0.92159763313609466</v>
      </c>
      <c r="J14" s="70">
        <v>84.082690353522636</v>
      </c>
      <c r="K14" s="82">
        <f t="shared" si="0"/>
        <v>12.838583627608344</v>
      </c>
    </row>
    <row r="15" spans="1:11" ht="35.1" customHeight="1" thickBot="1" x14ac:dyDescent="0.25">
      <c r="A15" s="94"/>
      <c r="B15" s="57" t="s">
        <v>30</v>
      </c>
      <c r="C15" s="22">
        <v>3115000</v>
      </c>
      <c r="D15" s="28">
        <v>35</v>
      </c>
      <c r="E15" s="48">
        <v>3047263.24</v>
      </c>
      <c r="F15" s="25">
        <v>38.53548618343234</v>
      </c>
      <c r="G15" s="25">
        <v>73.53548618343234</v>
      </c>
      <c r="H15" s="68"/>
      <c r="I15" s="61">
        <v>0</v>
      </c>
      <c r="J15" s="62">
        <v>0</v>
      </c>
      <c r="K15" s="67">
        <f t="shared" si="0"/>
        <v>2.1745348314606758</v>
      </c>
    </row>
    <row r="16" spans="1:11" ht="35.1" customHeight="1" thickBot="1" x14ac:dyDescent="0.25">
      <c r="A16" s="21"/>
      <c r="B16" s="58" t="s">
        <v>33</v>
      </c>
      <c r="C16" s="79">
        <v>3115000</v>
      </c>
      <c r="D16" s="26">
        <v>27</v>
      </c>
      <c r="E16" s="49">
        <v>2478880.13</v>
      </c>
      <c r="F16" s="30">
        <v>50</v>
      </c>
      <c r="G16" s="30">
        <v>77</v>
      </c>
      <c r="H16" s="68"/>
      <c r="I16" s="65">
        <v>0</v>
      </c>
      <c r="J16" s="66">
        <v>0</v>
      </c>
      <c r="K16" s="86">
        <f t="shared" si="0"/>
        <v>20.421183627608343</v>
      </c>
    </row>
    <row r="17" spans="1:11" ht="41.25" thickBot="1" x14ac:dyDescent="0.25">
      <c r="A17" s="71"/>
      <c r="B17" s="41" t="s">
        <v>12</v>
      </c>
      <c r="C17" s="78">
        <f>C9+C11+C14+C12</f>
        <v>3380000</v>
      </c>
      <c r="D17" s="72"/>
      <c r="E17" s="72"/>
      <c r="F17" s="72"/>
      <c r="G17" s="72"/>
      <c r="H17" s="72"/>
      <c r="I17" s="73" t="s">
        <v>18</v>
      </c>
      <c r="J17" s="74">
        <f>SUM(J9,J11:J16)</f>
        <v>91.769820531037425</v>
      </c>
      <c r="K17" s="60"/>
    </row>
    <row r="18" spans="1:11" x14ac:dyDescent="0.2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</row>
    <row r="19" spans="1:11" x14ac:dyDescent="0.2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</row>
    <row r="20" spans="1:11" ht="14.25" x14ac:dyDescent="0.2">
      <c r="A20" s="75" t="s">
        <v>2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</row>
    <row r="21" spans="1:11" ht="14.25" x14ac:dyDescent="0.2">
      <c r="A21" s="75" t="s">
        <v>34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</row>
    <row r="22" spans="1:11" x14ac:dyDescent="0.2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</row>
  </sheetData>
  <mergeCells count="5">
    <mergeCell ref="E7:J7"/>
    <mergeCell ref="A2:J2"/>
    <mergeCell ref="A3:J3"/>
    <mergeCell ref="A4:J4"/>
    <mergeCell ref="A14:A15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26"/>
  <sheetViews>
    <sheetView showGridLines="0" showZeros="0" tabSelected="1" topLeftCell="A7" zoomScaleNormal="100" workbookViewId="0">
      <selection activeCell="A20" sqref="A20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5" width="19" style="10" customWidth="1"/>
    <col min="6" max="11" width="16.7109375" style="10" customWidth="1"/>
    <col min="12" max="12" width="18.42578125" style="10" customWidth="1"/>
    <col min="13" max="17" width="16.7109375" style="10" customWidth="1"/>
    <col min="18" max="16384" width="11.42578125" style="10"/>
  </cols>
  <sheetData>
    <row r="1" spans="1:23" x14ac:dyDescent="0.2">
      <c r="T1" s="12" t="s">
        <v>6</v>
      </c>
    </row>
    <row r="2" spans="1:23" s="3" customFormat="1" ht="57" customHeight="1" x14ac:dyDescent="0.15">
      <c r="A2" s="2"/>
      <c r="D2" s="4"/>
      <c r="E2" s="4"/>
      <c r="F2" s="4"/>
      <c r="G2" s="4"/>
      <c r="H2" s="5"/>
      <c r="M2" s="11"/>
      <c r="T2" s="13" t="s">
        <v>17</v>
      </c>
      <c r="U2" s="14">
        <v>87</v>
      </c>
      <c r="V2" s="14">
        <v>86</v>
      </c>
      <c r="W2" s="14">
        <v>50</v>
      </c>
    </row>
    <row r="3" spans="1:23" s="3" customFormat="1" ht="22.5" customHeight="1" x14ac:dyDescent="0.15">
      <c r="A3" s="101" t="s">
        <v>20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T3" s="32" t="s">
        <v>8</v>
      </c>
    </row>
    <row r="4" spans="1:23" s="3" customFormat="1" ht="22.5" customHeight="1" x14ac:dyDescent="0.15">
      <c r="A4" s="101" t="s">
        <v>21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</row>
    <row r="5" spans="1:23" s="3" customFormat="1" ht="24.6" customHeight="1" x14ac:dyDescent="0.15">
      <c r="A5" s="101" t="s">
        <v>3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</row>
    <row r="6" spans="1:23" s="3" customFormat="1" ht="24.6" customHeight="1" thickBot="1" x14ac:dyDescent="0.2">
      <c r="A6" s="31"/>
      <c r="B6" s="31"/>
      <c r="C6" s="31"/>
      <c r="D6" s="31"/>
      <c r="E6" s="31"/>
      <c r="F6" s="31"/>
      <c r="G6" s="31"/>
      <c r="H6" s="4"/>
    </row>
    <row r="7" spans="1:23" s="3" customFormat="1" ht="24.75" customHeight="1" thickBot="1" x14ac:dyDescent="0.3">
      <c r="A7" s="2"/>
      <c r="B7" s="6"/>
      <c r="C7" s="7"/>
      <c r="D7" s="7"/>
      <c r="E7" s="95" t="s">
        <v>14</v>
      </c>
      <c r="F7" s="96"/>
      <c r="G7" s="96"/>
      <c r="H7" s="96"/>
      <c r="I7" s="96"/>
      <c r="J7" s="97"/>
      <c r="K7" s="98" t="s">
        <v>35</v>
      </c>
      <c r="L7" s="99"/>
      <c r="M7" s="99"/>
      <c r="N7" s="99"/>
      <c r="O7" s="99"/>
      <c r="P7" s="99"/>
      <c r="Q7" s="100"/>
    </row>
    <row r="8" spans="1:23" s="8" customFormat="1" ht="30.75" thickBot="1" x14ac:dyDescent="0.25">
      <c r="A8" s="15" t="s">
        <v>4</v>
      </c>
      <c r="B8" s="16" t="s">
        <v>5</v>
      </c>
      <c r="C8" s="17" t="s">
        <v>40</v>
      </c>
      <c r="D8" s="18" t="s">
        <v>0</v>
      </c>
      <c r="E8" s="16" t="s">
        <v>25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28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</row>
    <row r="9" spans="1:23" s="3" customFormat="1" ht="35.1" customHeight="1" x14ac:dyDescent="0.15">
      <c r="A9" s="19" t="s">
        <v>22</v>
      </c>
      <c r="B9" s="56" t="s">
        <v>24</v>
      </c>
      <c r="C9" s="22">
        <v>25000</v>
      </c>
      <c r="D9" s="23">
        <v>13</v>
      </c>
      <c r="E9" s="24">
        <v>22509.439999999999</v>
      </c>
      <c r="F9" s="25">
        <f>$U$2*(2-E9/MIN(E$9:E$10))</f>
        <v>87</v>
      </c>
      <c r="G9" s="77">
        <f>D9+F9</f>
        <v>100</v>
      </c>
      <c r="H9" s="42">
        <v>1</v>
      </c>
      <c r="I9" s="34">
        <f>+$C9/$C$17*H9</f>
        <v>7.3964497041420114E-3</v>
      </c>
      <c r="J9" s="35">
        <f>+G9*I9</f>
        <v>0.73964497041420119</v>
      </c>
      <c r="K9" s="47"/>
      <c r="L9" s="48">
        <v>22509.439999999999</v>
      </c>
      <c r="M9" s="25">
        <f>$U$2*(2-L9/MIN(L$9:L$10))</f>
        <v>87</v>
      </c>
      <c r="N9" s="25">
        <f>$D9+M9</f>
        <v>100</v>
      </c>
      <c r="O9" s="33">
        <v>1</v>
      </c>
      <c r="P9" s="34">
        <f>+$C9/$C$17*O9</f>
        <v>7.3964497041420114E-3</v>
      </c>
      <c r="Q9" s="35">
        <f>+N9*P9</f>
        <v>0.73964497041420119</v>
      </c>
    </row>
    <row r="10" spans="1:23" s="3" customFormat="1" ht="35.1" customHeight="1" thickBot="1" x14ac:dyDescent="0.2">
      <c r="A10" s="21"/>
      <c r="B10" s="58" t="s">
        <v>23</v>
      </c>
      <c r="C10" s="102">
        <v>25000</v>
      </c>
      <c r="D10" s="85" t="s">
        <v>36</v>
      </c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1"/>
      <c r="Q10" s="40">
        <f t="shared" ref="Q10:Q16" si="0">+N10*P10</f>
        <v>0</v>
      </c>
    </row>
    <row r="11" spans="1:23" s="3" customFormat="1" ht="35.1" customHeight="1" thickBot="1" x14ac:dyDescent="0.2">
      <c r="A11" s="19" t="s">
        <v>27</v>
      </c>
      <c r="B11" s="56" t="s">
        <v>26</v>
      </c>
      <c r="C11" s="22">
        <v>125000</v>
      </c>
      <c r="D11" s="23">
        <v>14</v>
      </c>
      <c r="E11" s="24">
        <v>120904.12</v>
      </c>
      <c r="F11" s="25">
        <f>$V$2*(2-E11/MIN(E$11:E$11))</f>
        <v>86</v>
      </c>
      <c r="G11" s="77">
        <f t="shared" ref="G11:G16" si="1">D11+F11</f>
        <v>100</v>
      </c>
      <c r="H11" s="42">
        <v>1</v>
      </c>
      <c r="I11" s="34">
        <f t="shared" ref="I11:I16" si="2">+$C11/$C$17*H11</f>
        <v>3.6982248520710061E-2</v>
      </c>
      <c r="J11" s="35">
        <f t="shared" ref="J11:J16" si="3">+G11*I11</f>
        <v>3.6982248520710059</v>
      </c>
      <c r="K11" s="47"/>
      <c r="L11" s="48">
        <f t="shared" ref="L11:L16" si="4">+$E11*(1-K11)</f>
        <v>120904.12</v>
      </c>
      <c r="M11" s="25">
        <f>$V$2*(2-L11/MIN(L$12:L$13))</f>
        <v>70.762478976954668</v>
      </c>
      <c r="N11" s="25">
        <f t="shared" ref="N11:N16" si="5">$D11+M11</f>
        <v>84.762478976954668</v>
      </c>
      <c r="O11" s="33">
        <v>1</v>
      </c>
      <c r="P11" s="34">
        <f t="shared" ref="P11:P16" si="6">+$C11/$C$17*O11</f>
        <v>3.6982248520710061E-2</v>
      </c>
      <c r="Q11" s="35">
        <f t="shared" si="0"/>
        <v>3.1347070627571996</v>
      </c>
    </row>
    <row r="12" spans="1:23" s="3" customFormat="1" ht="35.1" customHeight="1" thickBot="1" x14ac:dyDescent="0.2">
      <c r="A12" s="19" t="s">
        <v>31</v>
      </c>
      <c r="B12" s="56" t="s">
        <v>29</v>
      </c>
      <c r="C12" s="22">
        <v>115000</v>
      </c>
      <c r="D12" s="23">
        <v>12.5</v>
      </c>
      <c r="E12" s="24">
        <v>103636.13</v>
      </c>
      <c r="F12" s="25">
        <f>$V$2*(2-E12/MIN(E$12:E$13))</f>
        <v>85.230287742608795</v>
      </c>
      <c r="G12" s="105">
        <f>D12+F12</f>
        <v>97.730287742608795</v>
      </c>
      <c r="H12" s="42"/>
      <c r="I12" s="34">
        <f t="shared" si="2"/>
        <v>0</v>
      </c>
      <c r="J12" s="35">
        <f t="shared" ref="J12:J13" si="7">+G12*I12</f>
        <v>0</v>
      </c>
      <c r="K12" s="47"/>
      <c r="L12" s="48">
        <f t="shared" si="4"/>
        <v>103636.13</v>
      </c>
      <c r="M12" s="25">
        <f>$V$2*(2-L12/MIN(L$12:L$13))</f>
        <v>85.221609903599145</v>
      </c>
      <c r="N12" s="25">
        <f t="shared" ref="N12:N13" si="8">$D12+M12</f>
        <v>97.721609903599145</v>
      </c>
      <c r="O12" s="45"/>
      <c r="P12" s="34">
        <f t="shared" si="6"/>
        <v>0</v>
      </c>
      <c r="Q12" s="35">
        <f t="shared" ref="Q12:Q13" si="9">+N12*P12</f>
        <v>0</v>
      </c>
    </row>
    <row r="13" spans="1:23" s="3" customFormat="1" ht="35.1" customHeight="1" thickBot="1" x14ac:dyDescent="0.2">
      <c r="A13" s="20"/>
      <c r="B13" s="114" t="s">
        <v>30</v>
      </c>
      <c r="C13" s="115">
        <v>115000</v>
      </c>
      <c r="D13" s="116">
        <v>9.5</v>
      </c>
      <c r="E13" s="117">
        <v>102716.8</v>
      </c>
      <c r="F13" s="127">
        <f>$V$2*(2-E13/MIN(E$12:E$13))</f>
        <v>86</v>
      </c>
      <c r="G13" s="127">
        <f t="shared" ref="G13" si="10">D13+F13</f>
        <v>95.5</v>
      </c>
      <c r="H13" s="119">
        <v>1</v>
      </c>
      <c r="I13" s="120">
        <f t="shared" si="2"/>
        <v>3.4023668639053255E-2</v>
      </c>
      <c r="J13" s="121">
        <f t="shared" si="7"/>
        <v>3.2492603550295858</v>
      </c>
      <c r="K13" s="122">
        <v>1E-4</v>
      </c>
      <c r="L13" s="123">
        <f t="shared" si="4"/>
        <v>102706.52832</v>
      </c>
      <c r="M13" s="118">
        <f>$V$2*(2-L13/MIN(L$12:L$13))</f>
        <v>86</v>
      </c>
      <c r="N13" s="124">
        <f t="shared" si="8"/>
        <v>95.5</v>
      </c>
      <c r="O13" s="125">
        <v>1</v>
      </c>
      <c r="P13" s="120">
        <f t="shared" si="6"/>
        <v>3.4023668639053255E-2</v>
      </c>
      <c r="Q13" s="121">
        <f t="shared" si="9"/>
        <v>3.2492603550295858</v>
      </c>
    </row>
    <row r="14" spans="1:23" s="3" customFormat="1" ht="35.1" customHeight="1" x14ac:dyDescent="0.15">
      <c r="A14" s="111" t="s">
        <v>32</v>
      </c>
      <c r="B14" s="56" t="s">
        <v>29</v>
      </c>
      <c r="C14" s="22">
        <v>3115000</v>
      </c>
      <c r="D14" s="23">
        <v>46</v>
      </c>
      <c r="E14" s="24">
        <v>2715078.12</v>
      </c>
      <c r="F14" s="25">
        <f>$W$2*(2-E14/MIN(E$14:E$16))</f>
        <v>45.235792422120866</v>
      </c>
      <c r="G14" s="105">
        <f t="shared" si="1"/>
        <v>91.235792422120866</v>
      </c>
      <c r="H14" s="42">
        <v>1</v>
      </c>
      <c r="I14" s="34">
        <f t="shared" si="2"/>
        <v>0.92159763313609466</v>
      </c>
      <c r="J14" s="35">
        <f t="shared" si="3"/>
        <v>84.082690353522636</v>
      </c>
      <c r="K14" s="76"/>
      <c r="L14" s="48">
        <f t="shared" si="4"/>
        <v>2715078.12</v>
      </c>
      <c r="M14" s="25">
        <f>$W$2*(2-L14/MIN(L$14:L$16))</f>
        <v>45.235792422120866</v>
      </c>
      <c r="N14" s="25">
        <f t="shared" si="5"/>
        <v>91.235792422120866</v>
      </c>
      <c r="O14" s="45"/>
      <c r="P14" s="34">
        <f t="shared" si="6"/>
        <v>0</v>
      </c>
      <c r="Q14" s="35">
        <f t="shared" si="0"/>
        <v>0</v>
      </c>
    </row>
    <row r="15" spans="1:23" s="3" customFormat="1" ht="35.1" customHeight="1" x14ac:dyDescent="0.15">
      <c r="A15" s="112"/>
      <c r="B15" s="57" t="s">
        <v>30</v>
      </c>
      <c r="C15" s="102">
        <v>3115000</v>
      </c>
      <c r="D15" s="28">
        <v>35</v>
      </c>
      <c r="E15" s="29">
        <v>3047263.24</v>
      </c>
      <c r="F15" s="30">
        <f>$W$2*(2-E15/MIN(E$14:E$16))</f>
        <v>38.53548618343234</v>
      </c>
      <c r="G15" s="109">
        <f t="shared" si="1"/>
        <v>73.53548618343234</v>
      </c>
      <c r="H15" s="43"/>
      <c r="I15" s="37">
        <f t="shared" si="2"/>
        <v>0</v>
      </c>
      <c r="J15" s="38">
        <f t="shared" si="3"/>
        <v>0</v>
      </c>
      <c r="K15" s="110">
        <v>2.3E-3</v>
      </c>
      <c r="L15" s="49">
        <f t="shared" si="4"/>
        <v>3040254.5345480004</v>
      </c>
      <c r="M15" s="104">
        <f>$W$2*(2-L15/MIN(L$14:L$16))</f>
        <v>38.676854565210448</v>
      </c>
      <c r="N15" s="30">
        <f t="shared" si="5"/>
        <v>73.676854565210448</v>
      </c>
      <c r="O15" s="36">
        <v>1</v>
      </c>
      <c r="P15" s="37">
        <f t="shared" si="6"/>
        <v>0.92159763313609466</v>
      </c>
      <c r="Q15" s="38">
        <f t="shared" si="0"/>
        <v>67.900414784210213</v>
      </c>
    </row>
    <row r="16" spans="1:23" s="3" customFormat="1" ht="35.1" customHeight="1" thickBot="1" x14ac:dyDescent="0.2">
      <c r="A16" s="113"/>
      <c r="B16" s="58" t="s">
        <v>33</v>
      </c>
      <c r="C16" s="103">
        <v>3115000</v>
      </c>
      <c r="D16" s="26">
        <v>27</v>
      </c>
      <c r="E16" s="106">
        <v>2478880.13</v>
      </c>
      <c r="F16" s="107">
        <f>$W$2*(2-E16/MIN(E$14:E$16))</f>
        <v>50</v>
      </c>
      <c r="G16" s="108">
        <f t="shared" si="1"/>
        <v>77</v>
      </c>
      <c r="H16" s="51"/>
      <c r="I16" s="39">
        <f t="shared" si="2"/>
        <v>0</v>
      </c>
      <c r="J16" s="40">
        <f t="shared" si="3"/>
        <v>0</v>
      </c>
      <c r="K16" s="46"/>
      <c r="L16" s="50">
        <f t="shared" si="4"/>
        <v>2478880.13</v>
      </c>
      <c r="M16" s="107">
        <f>$W$2*(2-L16/MIN(L$14:L$16))</f>
        <v>50</v>
      </c>
      <c r="N16" s="27">
        <f t="shared" si="5"/>
        <v>77</v>
      </c>
      <c r="O16" s="44"/>
      <c r="P16" s="39">
        <f t="shared" si="6"/>
        <v>0</v>
      </c>
      <c r="Q16" s="40">
        <f t="shared" si="0"/>
        <v>0</v>
      </c>
    </row>
    <row r="17" spans="1:17" ht="42.75" customHeight="1" thickBot="1" x14ac:dyDescent="0.25">
      <c r="B17" s="126" t="s">
        <v>12</v>
      </c>
      <c r="C17" s="78">
        <f>C9+C11+C14+C12</f>
        <v>3380000</v>
      </c>
      <c r="I17" s="52" t="s">
        <v>13</v>
      </c>
      <c r="J17" s="53">
        <f>SUM(J9:J16)</f>
        <v>91.769820531037425</v>
      </c>
      <c r="P17" s="52" t="s">
        <v>13</v>
      </c>
      <c r="Q17" s="53">
        <f>SUM(Q9:Q16)</f>
        <v>75.024027172411195</v>
      </c>
    </row>
    <row r="20" spans="1:17" ht="14.25" x14ac:dyDescent="0.2">
      <c r="A20" s="1" t="s">
        <v>2</v>
      </c>
    </row>
    <row r="21" spans="1:17" ht="14.25" x14ac:dyDescent="0.2">
      <c r="A21" s="1" t="s">
        <v>34</v>
      </c>
    </row>
    <row r="22" spans="1:17" ht="12.75" x14ac:dyDescent="0.2">
      <c r="A22" s="10"/>
    </row>
    <row r="23" spans="1:17" ht="56.25" customHeight="1" x14ac:dyDescent="0.2">
      <c r="A23" s="10"/>
    </row>
    <row r="24" spans="1:17" ht="12.75" x14ac:dyDescent="0.2">
      <c r="A24" s="10"/>
    </row>
    <row r="25" spans="1:17" ht="12.75" x14ac:dyDescent="0.2">
      <c r="A25" s="10"/>
    </row>
    <row r="26" spans="1:17" ht="12.75" x14ac:dyDescent="0.2">
      <c r="A26" s="10"/>
    </row>
  </sheetData>
  <mergeCells count="6">
    <mergeCell ref="A14:A15"/>
    <mergeCell ref="E7:J7"/>
    <mergeCell ref="K7:Q7"/>
    <mergeCell ref="A3:Q3"/>
    <mergeCell ref="A4:Q4"/>
    <mergeCell ref="A5:Q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Nuria Santome Rodriguez</cp:lastModifiedBy>
  <cp:lastPrinted>2021-11-19T11:28:43Z</cp:lastPrinted>
  <dcterms:created xsi:type="dcterms:W3CDTF">2007-03-30T09:59:06Z</dcterms:created>
  <dcterms:modified xsi:type="dcterms:W3CDTF">2023-03-03T11:52:51Z</dcterms:modified>
</cp:coreProperties>
</file>