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3\EXPEDIENTES COMITÉ\3-Informe técnico\S-01933-2023 - Servicios postales y transporte de paquetería\Valoraciones\"/>
    </mc:Choice>
  </mc:AlternateContent>
  <xr:revisionPtr revIDLastSave="0" documentId="13_ncr:1_{D2CBF3EE-F3AE-4388-971A-3050697CFC46}" xr6:coauthVersionLast="36" xr6:coauthVersionMax="36" xr10:uidLastSave="{00000000-0000-0000-0000-000000000000}"/>
  <bookViews>
    <workbookView xWindow="0" yWindow="0" windowWidth="19200" windowHeight="693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ADJUDICADA'!$A$1:$K$23</definedName>
    <definedName name="_xlnm.Print_Area" localSheetId="1">valoración!$A$2:$Q$25</definedName>
  </definedNames>
  <calcPr calcId="191029"/>
</workbook>
</file>

<file path=xl/calcChain.xml><?xml version="1.0" encoding="utf-8"?>
<calcChain xmlns="http://schemas.openxmlformats.org/spreadsheetml/2006/main">
  <c r="A4" i="6" l="1"/>
  <c r="K14" i="6"/>
  <c r="K17" i="6"/>
  <c r="K9" i="6"/>
  <c r="F18" i="6"/>
  <c r="G18" i="6" s="1"/>
  <c r="F19" i="6"/>
  <c r="G19" i="6" s="1"/>
  <c r="F20" i="6"/>
  <c r="G20" i="6" s="1"/>
  <c r="F17" i="6"/>
  <c r="G17" i="6" s="1"/>
  <c r="F11" i="6"/>
  <c r="G11" i="6" s="1"/>
  <c r="F12" i="6"/>
  <c r="G12" i="6" s="1"/>
  <c r="F13" i="6"/>
  <c r="F14" i="6"/>
  <c r="F15" i="6"/>
  <c r="F16" i="6"/>
  <c r="F10" i="6"/>
  <c r="G10" i="6" s="1"/>
  <c r="G13" i="6"/>
  <c r="G15" i="6"/>
  <c r="G16" i="6"/>
  <c r="F9" i="6"/>
  <c r="G9" i="6" s="1"/>
  <c r="G14" i="6"/>
  <c r="C21" i="6"/>
  <c r="I9" i="6" s="1"/>
  <c r="I17" i="6"/>
  <c r="J9" i="6" l="1"/>
  <c r="J17" i="6"/>
  <c r="I14" i="6"/>
  <c r="J14" i="6" s="1"/>
  <c r="J21" i="6" s="1"/>
  <c r="L16" i="5"/>
  <c r="L17" i="5"/>
  <c r="L18" i="5"/>
  <c r="L19" i="5"/>
  <c r="L20" i="5"/>
  <c r="L14" i="5"/>
  <c r="L15" i="5"/>
  <c r="F18" i="5"/>
  <c r="G18" i="5" s="1"/>
  <c r="F19" i="5"/>
  <c r="G19" i="5" s="1"/>
  <c r="F20" i="5"/>
  <c r="G20" i="5" s="1"/>
  <c r="F17" i="5"/>
  <c r="F11" i="5"/>
  <c r="F12" i="5"/>
  <c r="F13" i="5"/>
  <c r="F14" i="5"/>
  <c r="G14" i="5" s="1"/>
  <c r="F15" i="5"/>
  <c r="G15" i="5" s="1"/>
  <c r="F16" i="5"/>
  <c r="G16" i="5" s="1"/>
  <c r="F10" i="5"/>
  <c r="C21" i="5"/>
  <c r="M19" i="5" l="1"/>
  <c r="N19" i="5" s="1"/>
  <c r="M20" i="5"/>
  <c r="N20" i="5" s="1"/>
  <c r="M18" i="5"/>
  <c r="N18" i="5" s="1"/>
  <c r="M17" i="5"/>
  <c r="N17" i="5" s="1"/>
  <c r="P13" i="5"/>
  <c r="I16" i="5"/>
  <c r="I15" i="5"/>
  <c r="I14" i="5"/>
  <c r="J14" i="5" s="1"/>
  <c r="P16" i="5"/>
  <c r="I13" i="5"/>
  <c r="P15" i="5"/>
  <c r="I12" i="5"/>
  <c r="P18" i="5"/>
  <c r="P20" i="5"/>
  <c r="P19" i="5"/>
  <c r="P12" i="5"/>
  <c r="Q20" i="5" l="1"/>
  <c r="L11" i="5"/>
  <c r="L9" i="5"/>
  <c r="L10" i="5"/>
  <c r="L12" i="5"/>
  <c r="L13" i="5"/>
  <c r="M11" i="5" l="1"/>
  <c r="N11" i="5" s="1"/>
  <c r="M13" i="5"/>
  <c r="N13" i="5" s="1"/>
  <c r="M12" i="5"/>
  <c r="N12" i="5" s="1"/>
  <c r="M10" i="5"/>
  <c r="M16" i="5"/>
  <c r="N16" i="5" s="1"/>
  <c r="M15" i="5"/>
  <c r="N15" i="5" s="1"/>
  <c r="Q15" i="5" s="1"/>
  <c r="M14" i="5"/>
  <c r="N14" i="5" s="1"/>
  <c r="G17" i="5" l="1"/>
  <c r="P9" i="5" l="1"/>
  <c r="I17" i="5"/>
  <c r="J17" i="5" s="1"/>
  <c r="A3" i="6"/>
  <c r="G11" i="5" l="1"/>
  <c r="G12" i="5"/>
  <c r="G13" i="5"/>
  <c r="N10" i="5" l="1"/>
  <c r="I10" i="5"/>
  <c r="M9" i="5"/>
  <c r="A2" i="6" l="1"/>
  <c r="G10" i="5" l="1"/>
  <c r="F9" i="5"/>
  <c r="G9" i="5" s="1"/>
  <c r="N9" i="5" l="1"/>
  <c r="Q9" i="5" s="1"/>
  <c r="Q21" i="5" s="1"/>
  <c r="P10" i="5"/>
  <c r="I9" i="5"/>
  <c r="J9" i="5" s="1"/>
  <c r="J21" i="5" l="1"/>
</calcChain>
</file>

<file path=xl/sharedStrings.xml><?xml version="1.0" encoding="utf-8"?>
<sst xmlns="http://schemas.openxmlformats.org/spreadsheetml/2006/main" count="73" uniqueCount="34">
  <si>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</si>
  <si>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</si>
  <si>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</si>
  <si>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</si>
  <si>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</si>
  <si>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</si>
  <si>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</si>
  <si>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Puntuación Total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</si>
  <si>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</si>
  <si>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</si>
  <si>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</si>
  <si>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</si>
  <si>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</si>
  <si>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</si>
  <si>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</si>
  <si>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</si>
  <si>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</si>
  <si>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%  Ahorro s/ licitación</t>
  </si>
  <si>
    <t>Lote 1: Servicio postal Madrid</t>
  </si>
  <si>
    <t xml:space="preserve">	Lote 2: Transporte de paquetería nacional</t>
  </si>
  <si>
    <t>Lote 3: Transporte de paquetería internacional</t>
  </si>
  <si>
    <t>SDAD. ESTATAL CORREOS TELEGRAFO, SA</t>
  </si>
  <si>
    <t>DICTUM LOGISTIC INTEGRAL</t>
  </si>
  <si>
    <t>MDL Distribucion Logistica S,A,</t>
  </si>
  <si>
    <t>OPTIMUS GESTION LOGISTICA, S.L</t>
  </si>
  <si>
    <t>ROUND CONNECT S.L</t>
  </si>
  <si>
    <t>TURYELECTRO GALICIA SL</t>
  </si>
  <si>
    <t>VIA MANRESA SL</t>
  </si>
  <si>
    <t>WEST FARGO</t>
  </si>
  <si>
    <t>STX HEALTHCARE LOGISTICS SOLUTIONS,</t>
  </si>
  <si>
    <t>Alternativa 2: oferta conjunta "VIA MANRESA SL" por los lotes 2 y 3</t>
  </si>
  <si>
    <t>"Servicios postales y transporte de paquetería"</t>
  </si>
  <si>
    <t>PROPUESTA DE ADJUDICACIÓN DEL EXPEDIENTE S-01933-2023</t>
  </si>
  <si>
    <t>Madrid, a 15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</si>
</sst>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00%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1"/>
      <name val="Tahoma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45">
    <xf numFmtId="0" fontId="0" fillId="0" borderId="0" xfId="0"/>
    <xf numFmtId="0" fontId="5" fillId="0" borderId="3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166" fontId="6" fillId="0" borderId="6" xfId="0" applyNumberFormat="1" applyFont="1" applyFill="1" applyBorder="1" applyAlignment="1">
      <alignment horizontal="right" vertical="center" indent="1"/>
    </xf>
    <xf numFmtId="4" fontId="6" fillId="0" borderId="7" xfId="0" applyNumberFormat="1" applyFont="1" applyFill="1" applyBorder="1" applyAlignment="1">
      <alignment horizontal="right" vertical="center" indent="1"/>
    </xf>
    <xf numFmtId="166" fontId="6" fillId="0" borderId="4" xfId="0" applyNumberFormat="1" applyFont="1" applyFill="1" applyBorder="1" applyAlignment="1">
      <alignment horizontal="right" vertical="center" indent="1"/>
    </xf>
    <xf numFmtId="4" fontId="6" fillId="0" borderId="1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right" vertical="center" indent="1"/>
    </xf>
    <xf numFmtId="165" fontId="5" fillId="0" borderId="7" xfId="2" applyNumberFormat="1" applyFont="1" applyFill="1" applyBorder="1" applyAlignment="1">
      <alignment horizontal="center" vertical="center"/>
    </xf>
    <xf numFmtId="10" fontId="5" fillId="0" borderId="7" xfId="0" applyNumberFormat="1" applyFont="1" applyFill="1" applyBorder="1" applyAlignment="1">
      <alignment horizontal="center" vertical="center"/>
    </xf>
    <xf numFmtId="164" fontId="5" fillId="0" borderId="8" xfId="2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164" fontId="5" fillId="0" borderId="9" xfId="2" applyFont="1" applyFill="1" applyBorder="1" applyAlignment="1">
      <alignment horizontal="center" vertical="center"/>
    </xf>
    <xf numFmtId="10" fontId="5" fillId="0" borderId="11" xfId="0" applyNumberFormat="1" applyFont="1" applyFill="1" applyBorder="1" applyAlignment="1">
      <alignment horizontal="center" vertical="center"/>
    </xf>
    <xf numFmtId="164" fontId="5" fillId="0" borderId="12" xfId="2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7" xfId="0" applyFont="1" applyFill="1" applyBorder="1"/>
    <xf numFmtId="0" fontId="0" fillId="4" borderId="0" xfId="0" applyFill="1"/>
    <xf numFmtId="10" fontId="5" fillId="4" borderId="7" xfId="0" applyNumberFormat="1" applyFont="1" applyFill="1" applyBorder="1" applyAlignment="1">
      <alignment horizontal="center" vertical="center"/>
    </xf>
    <xf numFmtId="10" fontId="5" fillId="4" borderId="1" xfId="0" applyNumberFormat="1" applyFont="1" applyFill="1" applyBorder="1" applyAlignment="1">
      <alignment horizontal="center" vertical="center"/>
    </xf>
    <xf numFmtId="10" fontId="5" fillId="4" borderId="11" xfId="0" applyNumberFormat="1" applyFont="1" applyFill="1" applyBorder="1" applyAlignment="1">
      <alignment horizontal="center" vertical="center"/>
    </xf>
    <xf numFmtId="0" fontId="5" fillId="4" borderId="3" xfId="0" applyFont="1" applyFill="1" applyBorder="1"/>
    <xf numFmtId="164" fontId="5" fillId="0" borderId="15" xfId="2" applyFont="1" applyFill="1" applyBorder="1" applyAlignment="1">
      <alignment horizontal="center" vertical="center"/>
    </xf>
    <xf numFmtId="0" fontId="1" fillId="0" borderId="14" xfId="0" applyFont="1" applyFill="1" applyBorder="1"/>
    <xf numFmtId="10" fontId="18" fillId="0" borderId="1" xfId="0" applyNumberFormat="1" applyFont="1" applyFill="1" applyBorder="1" applyAlignment="1">
      <alignment horizontal="center" vertical="center"/>
    </xf>
    <xf numFmtId="164" fontId="18" fillId="0" borderId="9" xfId="2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 wrapText="1"/>
    </xf>
    <xf numFmtId="0" fontId="3" fillId="0" borderId="21" xfId="0" applyFont="1" applyFill="1" applyBorder="1"/>
    <xf numFmtId="4" fontId="6" fillId="0" borderId="24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right" vertical="center" inden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center" vertical="center"/>
    </xf>
    <xf numFmtId="0" fontId="9" fillId="0" borderId="29" xfId="0" applyNumberFormat="1" applyFont="1" applyFill="1" applyBorder="1" applyAlignment="1">
      <alignment horizontal="right" vertical="center" wrapText="1"/>
    </xf>
    <xf numFmtId="166" fontId="15" fillId="0" borderId="29" xfId="0" applyNumberFormat="1" applyFont="1" applyFill="1" applyBorder="1" applyAlignment="1">
      <alignment horizontal="center" vertical="center"/>
    </xf>
    <xf numFmtId="0" fontId="3" fillId="0" borderId="30" xfId="0" applyFont="1" applyFill="1" applyBorder="1"/>
    <xf numFmtId="0" fontId="14" fillId="0" borderId="31" xfId="0" applyNumberFormat="1" applyFont="1" applyFill="1" applyBorder="1" applyAlignment="1">
      <alignment horizontal="left" vertical="top" wrapText="1"/>
    </xf>
    <xf numFmtId="166" fontId="6" fillId="0" borderId="7" xfId="0" applyNumberFormat="1" applyFont="1" applyFill="1" applyBorder="1" applyAlignment="1">
      <alignment horizontal="right" vertical="center" indent="1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1" xfId="0" applyNumberFormat="1" applyFont="1" applyFill="1" applyBorder="1" applyAlignment="1">
      <alignment horizontal="right" vertical="center" indent="1"/>
    </xf>
    <xf numFmtId="165" fontId="5" fillId="0" borderId="11" xfId="2" applyNumberFormat="1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>
      <alignment horizontal="right" vertical="center" indent="1"/>
    </xf>
    <xf numFmtId="10" fontId="18" fillId="0" borderId="7" xfId="0" applyNumberFormat="1" applyFont="1" applyFill="1" applyBorder="1" applyAlignment="1">
      <alignment horizontal="center" vertical="center"/>
    </xf>
    <xf numFmtId="164" fontId="18" fillId="0" borderId="8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9" xfId="2" applyFont="1" applyFill="1" applyBorder="1" applyAlignment="1">
      <alignment horizontal="center" vertical="center"/>
    </xf>
    <xf numFmtId="166" fontId="6" fillId="0" borderId="14" xfId="0" applyNumberFormat="1" applyFont="1" applyFill="1" applyBorder="1" applyAlignment="1">
      <alignment horizontal="right" vertical="center" indent="1"/>
    </xf>
    <xf numFmtId="4" fontId="6" fillId="0" borderId="35" xfId="0" applyNumberFormat="1" applyFont="1" applyFill="1" applyBorder="1" applyAlignment="1">
      <alignment horizontal="center" vertical="center"/>
    </xf>
    <xf numFmtId="4" fontId="6" fillId="0" borderId="36" xfId="0" applyNumberFormat="1" applyFont="1" applyFill="1" applyBorder="1" applyAlignment="1">
      <alignment horizontal="center" vertical="center"/>
    </xf>
    <xf numFmtId="165" fontId="5" fillId="0" borderId="14" xfId="2" applyNumberFormat="1" applyFont="1" applyFill="1" applyBorder="1" applyAlignment="1">
      <alignment horizontal="center" vertical="center"/>
    </xf>
    <xf numFmtId="166" fontId="6" fillId="0" borderId="32" xfId="0" applyNumberFormat="1" applyFont="1" applyFill="1" applyBorder="1" applyAlignment="1">
      <alignment horizontal="center" vertical="center"/>
    </xf>
    <xf numFmtId="166" fontId="6" fillId="0" borderId="33" xfId="0" applyNumberFormat="1" applyFont="1" applyFill="1" applyBorder="1" applyAlignment="1">
      <alignment horizontal="center" vertical="center"/>
    </xf>
    <xf numFmtId="166" fontId="6" fillId="0" borderId="34" xfId="0" applyNumberFormat="1" applyFont="1" applyFill="1" applyBorder="1" applyAlignment="1">
      <alignment horizontal="center" vertical="center"/>
    </xf>
    <xf numFmtId="0" fontId="6" fillId="0" borderId="38" xfId="0" applyNumberFormat="1" applyFont="1" applyFill="1" applyBorder="1" applyAlignment="1">
      <alignment horizontal="center" vertical="center" wrapText="1"/>
    </xf>
    <xf numFmtId="0" fontId="6" fillId="0" borderId="20" xfId="0" applyNumberFormat="1" applyFont="1" applyFill="1" applyBorder="1" applyAlignment="1">
      <alignment horizontal="center" vertical="center" wrapText="1"/>
    </xf>
    <xf numFmtId="0" fontId="6" fillId="0" borderId="39" xfId="0" applyNumberFormat="1" applyFont="1" applyFill="1" applyBorder="1" applyAlignment="1">
      <alignment horizontal="center" vertical="center" wrapText="1"/>
    </xf>
    <xf numFmtId="164" fontId="18" fillId="0" borderId="23" xfId="2" applyFont="1" applyFill="1" applyBorder="1" applyAlignment="1">
      <alignment horizontal="center" vertical="center"/>
    </xf>
    <xf numFmtId="4" fontId="6" fillId="0" borderId="22" xfId="0" applyNumberFormat="1" applyFont="1" applyFill="1" applyBorder="1" applyAlignment="1">
      <alignment horizontal="right" vertical="center" indent="1"/>
    </xf>
    <xf numFmtId="165" fontId="5" fillId="0" borderId="22" xfId="2" applyNumberFormat="1" applyFont="1" applyFill="1" applyBorder="1" applyAlignment="1">
      <alignment horizontal="center" vertical="center"/>
    </xf>
    <xf numFmtId="10" fontId="5" fillId="0" borderId="22" xfId="0" applyNumberFormat="1" applyFont="1" applyFill="1" applyBorder="1" applyAlignment="1">
      <alignment horizontal="center" vertical="center"/>
    </xf>
    <xf numFmtId="164" fontId="5" fillId="0" borderId="28" xfId="2" applyFont="1" applyFill="1" applyBorder="1" applyAlignment="1">
      <alignment horizontal="center" vertical="center"/>
    </xf>
    <xf numFmtId="166" fontId="6" fillId="0" borderId="42" xfId="0" applyNumberFormat="1" applyFont="1" applyFill="1" applyBorder="1" applyAlignment="1">
      <alignment horizontal="center" vertical="center"/>
    </xf>
    <xf numFmtId="4" fontId="6" fillId="0" borderId="43" xfId="0" applyNumberFormat="1" applyFont="1" applyFill="1" applyBorder="1" applyAlignment="1">
      <alignment horizontal="center" vertical="center"/>
    </xf>
    <xf numFmtId="166" fontId="6" fillId="0" borderId="37" xfId="0" applyNumberFormat="1" applyFont="1" applyFill="1" applyBorder="1" applyAlignment="1">
      <alignment horizontal="center" vertical="center"/>
    </xf>
    <xf numFmtId="0" fontId="6" fillId="0" borderId="40" xfId="0" applyNumberFormat="1" applyFont="1" applyFill="1" applyBorder="1" applyAlignment="1">
      <alignment horizontal="center" vertical="center" wrapText="1"/>
    </xf>
    <xf numFmtId="0" fontId="6" fillId="0" borderId="29" xfId="0" applyNumberFormat="1" applyFont="1" applyFill="1" applyBorder="1" applyAlignment="1">
      <alignment horizontal="center" vertical="center" wrapText="1"/>
    </xf>
    <xf numFmtId="4" fontId="6" fillId="0" borderId="45" xfId="0" applyNumberFormat="1" applyFont="1" applyFill="1" applyBorder="1" applyAlignment="1">
      <alignment horizontal="center" vertical="center"/>
    </xf>
    <xf numFmtId="10" fontId="18" fillId="0" borderId="11" xfId="0" applyNumberFormat="1" applyFont="1" applyFill="1" applyBorder="1" applyAlignment="1">
      <alignment horizontal="center" vertical="center"/>
    </xf>
    <xf numFmtId="166" fontId="9" fillId="0" borderId="31" xfId="0" applyNumberFormat="1" applyFont="1" applyFill="1" applyBorder="1" applyAlignment="1">
      <alignment horizontal="right" vertical="center" indent="1"/>
    </xf>
    <xf numFmtId="4" fontId="9" fillId="0" borderId="46" xfId="0" applyNumberFormat="1" applyFont="1" applyFill="1" applyBorder="1" applyAlignment="1">
      <alignment horizontal="right" vertical="center" indent="1"/>
    </xf>
    <xf numFmtId="165" fontId="18" fillId="0" borderId="46" xfId="2" applyNumberFormat="1" applyFont="1" applyFill="1" applyBorder="1" applyAlignment="1">
      <alignment horizontal="center" vertical="center"/>
    </xf>
    <xf numFmtId="10" fontId="18" fillId="0" borderId="46" xfId="0" applyNumberFormat="1" applyFont="1" applyFill="1" applyBorder="1" applyAlignment="1">
      <alignment horizontal="center" vertical="center"/>
    </xf>
    <xf numFmtId="166" fontId="9" fillId="0" borderId="4" xfId="0" applyNumberFormat="1" applyFont="1" applyFill="1" applyBorder="1" applyAlignment="1">
      <alignment horizontal="right" vertical="center" indent="1"/>
    </xf>
    <xf numFmtId="4" fontId="9" fillId="0" borderId="1" xfId="0" applyNumberFormat="1" applyFont="1" applyFill="1" applyBorder="1" applyAlignment="1">
      <alignment horizontal="right" vertical="center" indent="1"/>
    </xf>
    <xf numFmtId="165" fontId="18" fillId="0" borderId="1" xfId="2" applyNumberFormat="1" applyFont="1" applyFill="1" applyBorder="1" applyAlignment="1">
      <alignment horizontal="center" vertical="center"/>
    </xf>
    <xf numFmtId="166" fontId="9" fillId="0" borderId="27" xfId="0" applyNumberFormat="1" applyFont="1" applyFill="1" applyBorder="1" applyAlignment="1">
      <alignment horizontal="right" vertical="center" indent="1"/>
    </xf>
    <xf numFmtId="4" fontId="9" fillId="0" borderId="22" xfId="0" applyNumberFormat="1" applyFont="1" applyFill="1" applyBorder="1" applyAlignment="1">
      <alignment horizontal="right" vertical="center" indent="1"/>
    </xf>
    <xf numFmtId="165" fontId="18" fillId="0" borderId="22" xfId="2" applyNumberFormat="1" applyFont="1" applyFill="1" applyBorder="1" applyAlignment="1">
      <alignment horizontal="center" vertical="center"/>
    </xf>
    <xf numFmtId="10" fontId="18" fillId="0" borderId="22" xfId="0" applyNumberFormat="1" applyFont="1" applyFill="1" applyBorder="1" applyAlignment="1">
      <alignment horizontal="center" vertical="center"/>
    </xf>
    <xf numFmtId="164" fontId="18" fillId="0" borderId="28" xfId="2" applyFont="1" applyFill="1" applyBorder="1" applyAlignment="1">
      <alignment horizontal="center" vertical="center"/>
    </xf>
    <xf numFmtId="164" fontId="18" fillId="0" borderId="35" xfId="2" applyFont="1" applyFill="1" applyBorder="1" applyAlignment="1">
      <alignment horizontal="center" vertical="center"/>
    </xf>
    <xf numFmtId="164" fontId="5" fillId="0" borderId="24" xfId="2" applyFont="1" applyFill="1" applyBorder="1" applyAlignment="1">
      <alignment horizontal="center" vertical="center"/>
    </xf>
    <xf numFmtId="164" fontId="18" fillId="0" borderId="24" xfId="2" applyFont="1" applyFill="1" applyBorder="1" applyAlignment="1">
      <alignment horizontal="center" vertical="center"/>
    </xf>
    <xf numFmtId="164" fontId="5" fillId="0" borderId="36" xfId="2" applyFont="1" applyFill="1" applyBorder="1" applyAlignment="1">
      <alignment horizontal="center" vertical="center"/>
    </xf>
    <xf numFmtId="166" fontId="6" fillId="0" borderId="22" xfId="0" applyNumberFormat="1" applyFont="1" applyFill="1" applyBorder="1" applyAlignment="1">
      <alignment horizontal="right" vertical="center" indent="1"/>
    </xf>
    <xf numFmtId="0" fontId="19" fillId="0" borderId="1" xfId="0" applyFont="1" applyFill="1" applyBorder="1" applyAlignment="1">
      <alignment horizontal="right" vertical="center"/>
    </xf>
    <xf numFmtId="9" fontId="5" fillId="0" borderId="6" xfId="3" applyFont="1" applyFill="1" applyBorder="1" applyAlignment="1">
      <alignment horizontal="center" vertical="center"/>
    </xf>
    <xf numFmtId="9" fontId="5" fillId="0" borderId="4" xfId="3" applyFont="1" applyFill="1" applyBorder="1" applyAlignment="1">
      <alignment horizontal="center" vertical="center"/>
    </xf>
    <xf numFmtId="167" fontId="5" fillId="0" borderId="4" xfId="3" applyNumberFormat="1" applyFont="1" applyFill="1" applyBorder="1" applyAlignment="1">
      <alignment horizontal="center" vertical="center"/>
    </xf>
    <xf numFmtId="164" fontId="18" fillId="0" borderId="47" xfId="2" applyFont="1" applyFill="1" applyBorder="1" applyAlignment="1">
      <alignment horizontal="center" vertical="center"/>
    </xf>
    <xf numFmtId="167" fontId="5" fillId="0" borderId="13" xfId="3" applyNumberFormat="1" applyFont="1" applyFill="1" applyBorder="1" applyAlignment="1">
      <alignment horizontal="center" vertical="center"/>
    </xf>
    <xf numFmtId="10" fontId="5" fillId="4" borderId="14" xfId="0" applyNumberFormat="1" applyFont="1" applyFill="1" applyBorder="1" applyAlignment="1">
      <alignment horizontal="center" vertical="center"/>
    </xf>
    <xf numFmtId="9" fontId="5" fillId="0" borderId="10" xfId="3" applyFont="1" applyFill="1" applyBorder="1" applyAlignment="1">
      <alignment horizontal="center" vertical="center"/>
    </xf>
    <xf numFmtId="9" fontId="16" fillId="0" borderId="0" xfId="3" applyFont="1" applyFill="1" applyBorder="1" applyAlignment="1">
      <alignment horizontal="left" vertical="center"/>
    </xf>
    <xf numFmtId="4" fontId="6" fillId="0" borderId="0" xfId="0" applyNumberFormat="1" applyFont="1" applyFill="1" applyBorder="1" applyAlignment="1">
      <alignment horizontal="right" vertical="center" indent="1"/>
    </xf>
    <xf numFmtId="9" fontId="5" fillId="0" borderId="27" xfId="3" applyFont="1" applyFill="1" applyBorder="1" applyAlignment="1">
      <alignment horizontal="center" vertical="center"/>
    </xf>
    <xf numFmtId="0" fontId="3" fillId="0" borderId="41" xfId="0" applyFont="1" applyFill="1" applyBorder="1"/>
    <xf numFmtId="0" fontId="3" fillId="0" borderId="48" xfId="0" applyFont="1" applyFill="1" applyBorder="1"/>
    <xf numFmtId="0" fontId="14" fillId="0" borderId="18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center" wrapText="1"/>
    </xf>
    <xf numFmtId="4" fontId="6" fillId="5" borderId="49" xfId="0" applyNumberFormat="1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right" vertical="center" indent="1"/>
    </xf>
    <xf numFmtId="10" fontId="18" fillId="0" borderId="14" xfId="0" applyNumberFormat="1" applyFont="1" applyFill="1" applyBorder="1" applyAlignment="1">
      <alignment horizontal="center" vertical="center"/>
    </xf>
    <xf numFmtId="166" fontId="9" fillId="0" borderId="6" xfId="0" applyNumberFormat="1" applyFont="1" applyFill="1" applyBorder="1" applyAlignment="1">
      <alignment horizontal="right" vertical="center" indent="1"/>
    </xf>
    <xf numFmtId="165" fontId="18" fillId="0" borderId="7" xfId="2" applyNumberFormat="1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 wrapText="1"/>
    </xf>
    <xf numFmtId="0" fontId="9" fillId="0" borderId="20" xfId="0" applyNumberFormat="1" applyFont="1" applyFill="1" applyBorder="1" applyAlignment="1">
      <alignment horizontal="center" vertical="center" wrapText="1"/>
    </xf>
    <xf numFmtId="166" fontId="9" fillId="0" borderId="33" xfId="0" applyNumberFormat="1" applyFont="1" applyFill="1" applyBorder="1" applyAlignment="1">
      <alignment horizontal="center" vertical="center"/>
    </xf>
    <xf numFmtId="4" fontId="9" fillId="0" borderId="24" xfId="0" applyNumberFormat="1" applyFont="1" applyFill="1" applyBorder="1" applyAlignment="1">
      <alignment horizontal="center" vertical="center"/>
    </xf>
    <xf numFmtId="4" fontId="9" fillId="5" borderId="49" xfId="0" applyNumberFormat="1" applyFont="1" applyFill="1" applyBorder="1" applyAlignment="1">
      <alignment horizontal="center" vertical="center"/>
    </xf>
    <xf numFmtId="0" fontId="9" fillId="0" borderId="29" xfId="0" applyNumberFormat="1" applyFont="1" applyFill="1" applyBorder="1" applyAlignment="1">
      <alignment horizontal="center" vertical="center" wrapText="1"/>
    </xf>
    <xf numFmtId="166" fontId="9" fillId="0" borderId="32" xfId="0" applyNumberFormat="1" applyFont="1" applyFill="1" applyBorder="1" applyAlignment="1">
      <alignment horizontal="center" vertical="center"/>
    </xf>
    <xf numFmtId="4" fontId="9" fillId="0" borderId="35" xfId="0" applyNumberFormat="1" applyFont="1" applyFill="1" applyBorder="1" applyAlignment="1">
      <alignment horizontal="center" vertical="center"/>
    </xf>
    <xf numFmtId="0" fontId="9" fillId="0" borderId="40" xfId="0" applyNumberFormat="1" applyFont="1" applyFill="1" applyBorder="1" applyAlignment="1">
      <alignment horizontal="center" vertical="center" wrapText="1"/>
    </xf>
    <xf numFmtId="166" fontId="9" fillId="0" borderId="42" xfId="0" applyNumberFormat="1" applyFont="1" applyFill="1" applyBorder="1" applyAlignment="1">
      <alignment horizontal="center" vertical="center"/>
    </xf>
    <xf numFmtId="4" fontId="9" fillId="0" borderId="43" xfId="0" applyNumberFormat="1" applyFont="1" applyFill="1" applyBorder="1" applyAlignment="1">
      <alignment horizontal="center" vertical="center"/>
    </xf>
    <xf numFmtId="4" fontId="9" fillId="5" borderId="20" xfId="0" applyNumberFormat="1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/>
    </xf>
    <xf numFmtId="165" fontId="16" fillId="0" borderId="2" xfId="2" applyNumberFormat="1" applyFont="1" applyFill="1" applyBorder="1" applyAlignment="1">
      <alignment horizontal="left" vertical="center"/>
    </xf>
    <xf numFmtId="165" fontId="16" fillId="0" borderId="16" xfId="2" applyNumberFormat="1" applyFont="1" applyFill="1" applyBorder="1" applyAlignment="1">
      <alignment horizontal="left" vertical="center"/>
    </xf>
    <xf numFmtId="165" fontId="16" fillId="0" borderId="17" xfId="2" applyNumberFormat="1" applyFont="1" applyFill="1" applyBorder="1" applyAlignment="1">
      <alignment horizontal="left" vertical="center"/>
    </xf>
    <xf numFmtId="0" fontId="9" fillId="3" borderId="4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9" fontId="16" fillId="0" borderId="2" xfId="3" applyFont="1" applyFill="1" applyBorder="1" applyAlignment="1">
      <alignment horizontal="left" vertical="center"/>
    </xf>
    <xf numFmtId="9" fontId="16" fillId="0" borderId="16" xfId="3" applyFont="1" applyFill="1" applyBorder="1" applyAlignment="1">
      <alignment horizontal="left" vertical="center"/>
    </xf>
    <xf numFmtId="9" fontId="16" fillId="0" borderId="17" xfId="3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tabSelected="1" zoomScale="85" zoomScaleNormal="85" workbookViewId="0">
      <selection activeCell="G26" sqref="G26"/>
    </sheetView>
  </sheetViews>
  <sheetFormatPr baseColWidth="10" defaultRowHeight="12.75" x14ac:dyDescent="0.2"/>
  <cols>
    <col min="1" max="1" width="32.85546875" customWidth="1"/>
    <col min="2" max="2" width="31" customWidth="1"/>
    <col min="3" max="3" width="29.5703125" customWidth="1"/>
    <col min="4" max="4" width="21.140625" customWidth="1"/>
    <col min="5" max="5" width="22.5703125" customWidth="1"/>
    <col min="6" max="10" width="16.7109375" customWidth="1"/>
    <col min="11" max="11" width="16.140625" customWidth="1"/>
  </cols>
  <sheetData>
    <row r="1" spans="1:11" ht="48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8" x14ac:dyDescent="0.25">
      <c r="A2" s="135" t="str">
        <f>valoración!A3</f>
        <v>PROPUESTA DE ADJUDICACIÓN DEL EXPEDIENTE S-01933-2023</v>
      </c>
      <c r="B2" s="135"/>
      <c r="C2" s="135"/>
      <c r="D2" s="135"/>
      <c r="E2" s="135"/>
      <c r="F2" s="135"/>
      <c r="G2" s="135"/>
      <c r="H2" s="135"/>
      <c r="I2" s="135"/>
      <c r="J2" s="135"/>
      <c r="K2" s="31"/>
    </row>
    <row r="3" spans="1:11" ht="18" x14ac:dyDescent="0.25">
      <c r="A3" s="135" t="str">
        <f>valoración!A4</f>
        <v>"Servicios postales y transporte de paquetería"</v>
      </c>
      <c r="B3" s="135"/>
      <c r="C3" s="135"/>
      <c r="D3" s="135"/>
      <c r="E3" s="135"/>
      <c r="F3" s="135"/>
      <c r="G3" s="135"/>
      <c r="H3" s="135"/>
      <c r="I3" s="135"/>
      <c r="J3" s="135"/>
      <c r="K3" s="31"/>
    </row>
    <row r="4" spans="1:11" ht="18" x14ac:dyDescent="0.25">
      <c r="A4" s="135" t="str">
        <f>valoración!A5</f>
        <v>RESUMEN PUNTUACIÓN TÉCNICA Y ECONÓMICA</v>
      </c>
      <c r="B4" s="135"/>
      <c r="C4" s="135"/>
      <c r="D4" s="135"/>
      <c r="E4" s="135"/>
      <c r="F4" s="135"/>
      <c r="G4" s="135"/>
      <c r="H4" s="135"/>
      <c r="I4" s="135"/>
      <c r="J4" s="135"/>
      <c r="K4" s="31"/>
    </row>
    <row r="5" spans="1:11" x14ac:dyDescent="0.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ht="13.5" thickBo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1" ht="30.75" customHeight="1" thickBot="1" x14ac:dyDescent="0.3">
      <c r="A7" s="2"/>
      <c r="B7" s="6"/>
      <c r="C7" s="7"/>
      <c r="D7" s="7"/>
      <c r="E7" s="136" t="s">
        <v>13</v>
      </c>
      <c r="F7" s="137"/>
      <c r="G7" s="137"/>
      <c r="H7" s="137"/>
      <c r="I7" s="137"/>
      <c r="J7" s="138"/>
      <c r="K7" s="31"/>
    </row>
    <row r="8" spans="1:11" ht="45.75" thickBot="1" x14ac:dyDescent="0.25">
      <c r="A8" s="13" t="s">
        <v>4</v>
      </c>
      <c r="B8" s="44" t="s">
        <v>5</v>
      </c>
      <c r="C8" s="45" t="s">
        <v>6</v>
      </c>
      <c r="D8" s="46" t="s">
        <v>0</v>
      </c>
      <c r="E8" s="44" t="s">
        <v>16</v>
      </c>
      <c r="F8" s="45" t="s">
        <v>1</v>
      </c>
      <c r="G8" s="45" t="s">
        <v>7</v>
      </c>
      <c r="H8" s="45" t="s">
        <v>8</v>
      </c>
      <c r="I8" s="45" t="s">
        <v>9</v>
      </c>
      <c r="J8" s="46" t="s">
        <v>10</v>
      </c>
      <c r="K8" s="14" t="s">
        <v>17</v>
      </c>
    </row>
    <row r="9" spans="1:11" ht="49.5" customHeight="1" thickBot="1" x14ac:dyDescent="0.25">
      <c r="A9" s="120" t="s">
        <v>18</v>
      </c>
      <c r="B9" s="128" t="s">
        <v>21</v>
      </c>
      <c r="C9" s="129">
        <v>67356.06</v>
      </c>
      <c r="D9" s="130">
        <v>40</v>
      </c>
      <c r="E9" s="90">
        <v>62744.76</v>
      </c>
      <c r="F9" s="91">
        <f>valoración!$R$2*(2-E9/MIN(E$9:E$9))</f>
        <v>50</v>
      </c>
      <c r="G9" s="91">
        <f>D9+F9</f>
        <v>90</v>
      </c>
      <c r="H9" s="92">
        <v>1</v>
      </c>
      <c r="I9" s="93">
        <f>+$C9/$C$21*H9</f>
        <v>0.10994715812656516</v>
      </c>
      <c r="J9" s="94">
        <f>G9*I9</f>
        <v>9.8952442313908655</v>
      </c>
      <c r="K9" s="131">
        <f t="shared" ref="K9:K17" si="0">100-E9*100/C9</f>
        <v>6.8461545998979147</v>
      </c>
    </row>
    <row r="10" spans="1:11" ht="35.1" customHeight="1" x14ac:dyDescent="0.2">
      <c r="A10" s="132" t="s">
        <v>19</v>
      </c>
      <c r="B10" s="68" t="s">
        <v>22</v>
      </c>
      <c r="C10" s="65">
        <v>396738.96</v>
      </c>
      <c r="D10" s="62">
        <v>40</v>
      </c>
      <c r="E10" s="15">
        <v>371464.71</v>
      </c>
      <c r="F10" s="16">
        <f>valoración!$R$2*(2-E10/MIN(E$10:E$16))</f>
        <v>48.142340810480292</v>
      </c>
      <c r="G10" s="16">
        <f t="shared" ref="G10:G16" si="1">D10+F10</f>
        <v>88.142340810480292</v>
      </c>
      <c r="H10" s="22"/>
      <c r="I10" s="57"/>
      <c r="J10" s="58"/>
      <c r="K10" s="115"/>
    </row>
    <row r="11" spans="1:11" ht="35.1" customHeight="1" x14ac:dyDescent="0.2">
      <c r="A11" s="133"/>
      <c r="B11" s="69" t="s">
        <v>23</v>
      </c>
      <c r="C11" s="66">
        <v>396738.96</v>
      </c>
      <c r="D11" s="42">
        <v>46</v>
      </c>
      <c r="E11" s="17">
        <v>379560.9</v>
      </c>
      <c r="F11" s="18">
        <f>valoración!$R$2*(2-E11/MIN(E$10:E$16))</f>
        <v>47.012086844353604</v>
      </c>
      <c r="G11" s="18">
        <f t="shared" si="1"/>
        <v>93.012086844353604</v>
      </c>
      <c r="H11" s="47"/>
      <c r="I11" s="38"/>
      <c r="J11" s="26"/>
      <c r="K11" s="115"/>
    </row>
    <row r="12" spans="1:11" ht="35.1" customHeight="1" x14ac:dyDescent="0.2">
      <c r="A12" s="133"/>
      <c r="B12" s="69" t="s">
        <v>24</v>
      </c>
      <c r="C12" s="66">
        <v>396738.96</v>
      </c>
      <c r="D12" s="42">
        <v>45</v>
      </c>
      <c r="E12" s="17">
        <v>375751.89</v>
      </c>
      <c r="F12" s="18">
        <f>valoración!$R$2*(2-E12/MIN(E$10:E$16))</f>
        <v>47.543836798284559</v>
      </c>
      <c r="G12" s="18">
        <f t="shared" si="1"/>
        <v>92.543836798284559</v>
      </c>
      <c r="H12" s="47"/>
      <c r="I12" s="38"/>
      <c r="J12" s="39"/>
      <c r="K12" s="115"/>
    </row>
    <row r="13" spans="1:11" ht="38.1" customHeight="1" x14ac:dyDescent="0.2">
      <c r="A13" s="133"/>
      <c r="B13" s="69" t="s">
        <v>25</v>
      </c>
      <c r="C13" s="66">
        <v>396738.96</v>
      </c>
      <c r="D13" s="42">
        <v>30</v>
      </c>
      <c r="E13" s="17">
        <v>377064.96000000002</v>
      </c>
      <c r="F13" s="18">
        <f>valoración!$R$2*(2-E13/MIN(E$10:E$16))</f>
        <v>47.360528035112992</v>
      </c>
      <c r="G13" s="18">
        <f t="shared" si="1"/>
        <v>77.360528035112992</v>
      </c>
      <c r="H13" s="47"/>
      <c r="I13" s="38"/>
      <c r="J13" s="26"/>
      <c r="K13" s="115"/>
    </row>
    <row r="14" spans="1:11" ht="35.1" customHeight="1" x14ac:dyDescent="0.2">
      <c r="A14" s="133"/>
      <c r="B14" s="121" t="s">
        <v>26</v>
      </c>
      <c r="C14" s="122">
        <v>396738.96</v>
      </c>
      <c r="D14" s="123">
        <v>45</v>
      </c>
      <c r="E14" s="87">
        <v>358158</v>
      </c>
      <c r="F14" s="88">
        <f>valoración!$R$2*(2-E14/MIN(E$10:E$16))</f>
        <v>50</v>
      </c>
      <c r="G14" s="88">
        <f t="shared" si="1"/>
        <v>95</v>
      </c>
      <c r="H14" s="89">
        <v>1</v>
      </c>
      <c r="I14" s="38">
        <f t="shared" ref="I14" si="2">+$C14/$C$21*H14</f>
        <v>0.64760796831181955</v>
      </c>
      <c r="J14" s="39">
        <f>G14*I14</f>
        <v>61.522756989622856</v>
      </c>
      <c r="K14" s="124">
        <f t="shared" si="0"/>
        <v>9.7245201227527645</v>
      </c>
    </row>
    <row r="15" spans="1:11" ht="35.1" customHeight="1" x14ac:dyDescent="0.2">
      <c r="A15" s="133"/>
      <c r="B15" s="69" t="s">
        <v>27</v>
      </c>
      <c r="C15" s="66">
        <v>396738.96</v>
      </c>
      <c r="D15" s="42">
        <v>43</v>
      </c>
      <c r="E15" s="17">
        <v>385916.79</v>
      </c>
      <c r="F15" s="18">
        <f>valoración!$R$2*(2-E15/MIN(E$10:E$16))</f>
        <v>46.124784313068531</v>
      </c>
      <c r="G15" s="18">
        <f t="shared" si="1"/>
        <v>89.124784313068531</v>
      </c>
      <c r="H15" s="47"/>
      <c r="I15" s="38"/>
      <c r="J15" s="26"/>
      <c r="K15" s="115"/>
    </row>
    <row r="16" spans="1:11" ht="35.1" customHeight="1" thickBot="1" x14ac:dyDescent="0.25">
      <c r="A16" s="139"/>
      <c r="B16" s="70" t="s">
        <v>28</v>
      </c>
      <c r="C16" s="78">
        <v>396738.96</v>
      </c>
      <c r="D16" s="81">
        <v>25</v>
      </c>
      <c r="E16" s="20">
        <v>362692.5</v>
      </c>
      <c r="F16" s="21">
        <f>valoración!$R$2*(2-E16/MIN(E$10:E$16))</f>
        <v>49.36696932638668</v>
      </c>
      <c r="G16" s="21">
        <f t="shared" si="1"/>
        <v>74.36696932638668</v>
      </c>
      <c r="H16" s="64"/>
      <c r="I16" s="117"/>
      <c r="J16" s="36"/>
      <c r="K16" s="115"/>
    </row>
    <row r="17" spans="1:11" ht="35.1" customHeight="1" x14ac:dyDescent="0.2">
      <c r="A17" s="132" t="s">
        <v>20</v>
      </c>
      <c r="B17" s="125" t="s">
        <v>24</v>
      </c>
      <c r="C17" s="126">
        <v>148527.09</v>
      </c>
      <c r="D17" s="127">
        <v>50</v>
      </c>
      <c r="E17" s="118">
        <v>123189.03</v>
      </c>
      <c r="F17" s="116">
        <f>valoración!$R$2*(2-E17/MIN(E$17:E$20))</f>
        <v>50</v>
      </c>
      <c r="G17" s="116">
        <f>D17+F17</f>
        <v>100</v>
      </c>
      <c r="H17" s="119">
        <v>1</v>
      </c>
      <c r="I17" s="57">
        <f>+$C17/$C$21*H17</f>
        <v>0.24244487356161534</v>
      </c>
      <c r="J17" s="58">
        <f>+I17*G17</f>
        <v>24.244487356161535</v>
      </c>
      <c r="K17" s="124">
        <f t="shared" si="0"/>
        <v>17.059554590344433</v>
      </c>
    </row>
    <row r="18" spans="1:11" ht="43.5" customHeight="1" x14ac:dyDescent="0.2">
      <c r="A18" s="133"/>
      <c r="B18" s="69" t="s">
        <v>29</v>
      </c>
      <c r="C18" s="66">
        <v>148527.09</v>
      </c>
      <c r="D18" s="42">
        <v>50</v>
      </c>
      <c r="E18" s="17">
        <v>134750.56</v>
      </c>
      <c r="F18" s="18">
        <f>valoración!$R$2*(2-E18/MIN(E$17:E$20))</f>
        <v>45.307402777666162</v>
      </c>
      <c r="G18" s="18">
        <f t="shared" ref="G18:G20" si="3">D18+F18</f>
        <v>95.307402777666169</v>
      </c>
      <c r="H18" s="47"/>
      <c r="I18" s="25"/>
      <c r="J18" s="26"/>
      <c r="K18" s="115"/>
    </row>
    <row r="19" spans="1:11" ht="25.5" customHeight="1" x14ac:dyDescent="0.2">
      <c r="A19" s="133"/>
      <c r="B19" s="69" t="s">
        <v>26</v>
      </c>
      <c r="C19" s="66">
        <v>148527.09</v>
      </c>
      <c r="D19" s="42">
        <v>35</v>
      </c>
      <c r="E19" s="17">
        <v>132520.92000000001</v>
      </c>
      <c r="F19" s="18">
        <f>valoración!$R$2*(2-E19/MIN(E$17:E$20))</f>
        <v>46.212369721557181</v>
      </c>
      <c r="G19" s="18">
        <f t="shared" si="3"/>
        <v>81.212369721557181</v>
      </c>
      <c r="H19" s="47"/>
      <c r="I19" s="25"/>
      <c r="J19" s="26"/>
      <c r="K19" s="115"/>
    </row>
    <row r="20" spans="1:11" ht="29.25" customHeight="1" thickBot="1" x14ac:dyDescent="0.25">
      <c r="A20" s="134"/>
      <c r="B20" s="70" t="s">
        <v>27</v>
      </c>
      <c r="C20" s="67">
        <v>148527.09</v>
      </c>
      <c r="D20" s="63">
        <v>36</v>
      </c>
      <c r="E20" s="56">
        <v>145151.28</v>
      </c>
      <c r="F20" s="54">
        <f>valoración!$R$2*(2-E20/MIN(E$17:E$20))</f>
        <v>41.085955462105673</v>
      </c>
      <c r="G20" s="54">
        <f t="shared" si="3"/>
        <v>77.085955462105673</v>
      </c>
      <c r="H20" s="55"/>
      <c r="I20" s="27"/>
      <c r="J20" s="28"/>
      <c r="K20" s="115"/>
    </row>
    <row r="21" spans="1:11" ht="40.5" x14ac:dyDescent="0.2">
      <c r="A21" s="40"/>
      <c r="B21" s="48" t="s">
        <v>11</v>
      </c>
      <c r="C21" s="49">
        <f>C9+C10+C17</f>
        <v>612622.11</v>
      </c>
      <c r="D21" s="50"/>
      <c r="E21" s="50"/>
      <c r="F21" s="50"/>
      <c r="G21" s="50"/>
      <c r="H21" s="50"/>
      <c r="I21" s="51" t="s">
        <v>12</v>
      </c>
      <c r="J21" s="71">
        <f>SUM(J9:J20)</f>
        <v>95.662488577175253</v>
      </c>
      <c r="K21" s="31"/>
    </row>
    <row r="22" spans="1:11" ht="14.25" x14ac:dyDescent="0.2">
      <c r="A22" s="35" t="s">
        <v>2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</row>
    <row r="23" spans="1:11" ht="14.25" x14ac:dyDescent="0.2">
      <c r="A23" s="35" t="s">
        <v>33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1" x14ac:dyDescent="0.2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</row>
  </sheetData>
  <mergeCells count="6">
    <mergeCell ref="A17:A20"/>
    <mergeCell ref="A2:J2"/>
    <mergeCell ref="A3:J3"/>
    <mergeCell ref="A4:J4"/>
    <mergeCell ref="E7:J7"/>
    <mergeCell ref="A10:A16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R27"/>
  <sheetViews>
    <sheetView showGridLines="0" showZeros="0" zoomScale="70" zoomScaleNormal="70" workbookViewId="0">
      <selection activeCell="E11" sqref="E11"/>
    </sheetView>
  </sheetViews>
  <sheetFormatPr baseColWidth="10" defaultColWidth="11.42578125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5" width="19" style="10" bestFit="1" customWidth="1"/>
    <col min="6" max="17" width="16.7109375" style="10" customWidth="1"/>
    <col min="18" max="18" width="14.42578125" style="10" customWidth="1"/>
    <col min="19" max="16384" width="11.42578125" style="10"/>
  </cols>
  <sheetData>
    <row r="2" spans="1:18" s="3" customFormat="1" ht="48" customHeight="1" x14ac:dyDescent="0.15">
      <c r="A2" s="2"/>
      <c r="D2" s="4"/>
      <c r="E2" s="4"/>
      <c r="F2" s="4"/>
      <c r="G2" s="4"/>
      <c r="H2" s="5"/>
      <c r="M2" s="11"/>
      <c r="R2" s="12">
        <v>50</v>
      </c>
    </row>
    <row r="3" spans="1:18" s="3" customFormat="1" ht="22.5" customHeight="1" x14ac:dyDescent="0.15">
      <c r="A3" s="140" t="s">
        <v>32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</row>
    <row r="4" spans="1:18" s="3" customFormat="1" ht="22.5" customHeight="1" x14ac:dyDescent="0.15">
      <c r="A4" s="140" t="s">
        <v>31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</row>
    <row r="5" spans="1:18" s="3" customFormat="1" ht="24.6" customHeight="1" x14ac:dyDescent="0.15">
      <c r="A5" s="140" t="s">
        <v>3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</row>
    <row r="6" spans="1:18" s="3" customFormat="1" ht="24.6" customHeight="1" thickBot="1" x14ac:dyDescent="0.2">
      <c r="A6" s="19"/>
      <c r="B6" s="19"/>
      <c r="C6" s="19"/>
      <c r="D6" s="19"/>
      <c r="E6" s="19"/>
      <c r="F6" s="19"/>
      <c r="G6" s="19"/>
      <c r="H6" s="4"/>
    </row>
    <row r="7" spans="1:18" s="3" customFormat="1" ht="24.75" customHeight="1" thickBot="1" x14ac:dyDescent="0.3">
      <c r="A7" s="2"/>
      <c r="B7" s="6"/>
      <c r="C7" s="7"/>
      <c r="D7" s="7"/>
      <c r="E7" s="136" t="s">
        <v>13</v>
      </c>
      <c r="F7" s="137"/>
      <c r="G7" s="137"/>
      <c r="H7" s="137"/>
      <c r="I7" s="137"/>
      <c r="J7" s="138"/>
      <c r="K7" s="142" t="s">
        <v>30</v>
      </c>
      <c r="L7" s="143"/>
      <c r="M7" s="143"/>
      <c r="N7" s="143"/>
      <c r="O7" s="143"/>
      <c r="P7" s="143"/>
      <c r="Q7" s="144"/>
      <c r="R7" s="108"/>
    </row>
    <row r="8" spans="1:18" s="8" customFormat="1" ht="60.75" thickBot="1" x14ac:dyDescent="0.25">
      <c r="A8" s="13" t="s">
        <v>4</v>
      </c>
      <c r="B8" s="44" t="s">
        <v>5</v>
      </c>
      <c r="C8" s="45" t="s">
        <v>6</v>
      </c>
      <c r="D8" s="46" t="s">
        <v>0</v>
      </c>
      <c r="E8" s="44" t="s">
        <v>16</v>
      </c>
      <c r="F8" s="45" t="s">
        <v>1</v>
      </c>
      <c r="G8" s="45" t="s">
        <v>7</v>
      </c>
      <c r="H8" s="45" t="s">
        <v>8</v>
      </c>
      <c r="I8" s="45" t="s">
        <v>9</v>
      </c>
      <c r="J8" s="46" t="s">
        <v>10</v>
      </c>
      <c r="K8" s="44" t="s">
        <v>14</v>
      </c>
      <c r="L8" s="44" t="s">
        <v>16</v>
      </c>
      <c r="M8" s="45" t="s">
        <v>1</v>
      </c>
      <c r="N8" s="45" t="s">
        <v>15</v>
      </c>
      <c r="O8" s="45" t="s">
        <v>8</v>
      </c>
      <c r="P8" s="45" t="s">
        <v>9</v>
      </c>
      <c r="Q8" s="46" t="s">
        <v>10</v>
      </c>
      <c r="R8" s="114"/>
    </row>
    <row r="9" spans="1:18" s="3" customFormat="1" ht="48" customHeight="1" thickBot="1" x14ac:dyDescent="0.2">
      <c r="A9" s="120" t="s">
        <v>18</v>
      </c>
      <c r="B9" s="79" t="s">
        <v>21</v>
      </c>
      <c r="C9" s="76">
        <v>67356.06</v>
      </c>
      <c r="D9" s="77">
        <v>40</v>
      </c>
      <c r="E9" s="90">
        <v>62744.76</v>
      </c>
      <c r="F9" s="91">
        <f>$R$2*(2-E9/MIN(E$9:E$9))</f>
        <v>50</v>
      </c>
      <c r="G9" s="91">
        <f>D9+F9</f>
        <v>90</v>
      </c>
      <c r="H9" s="92">
        <v>1</v>
      </c>
      <c r="I9" s="93">
        <f>+$C9/$C$21*H9</f>
        <v>0.10994715812656516</v>
      </c>
      <c r="J9" s="94">
        <f>G9*I9</f>
        <v>9.8952442313908655</v>
      </c>
      <c r="K9" s="110"/>
      <c r="L9" s="99">
        <f>E9*(1-K9)</f>
        <v>62744.76</v>
      </c>
      <c r="M9" s="72">
        <f>$R$2*(2-L9/MIN($L$9:$L$9))</f>
        <v>50</v>
      </c>
      <c r="N9" s="72">
        <f>$D9+M9</f>
        <v>90</v>
      </c>
      <c r="O9" s="73">
        <v>1</v>
      </c>
      <c r="P9" s="74">
        <f>C9/$C$21*O9</f>
        <v>0.10994715812656516</v>
      </c>
      <c r="Q9" s="75">
        <f>+P9*N9</f>
        <v>9.8952442313908655</v>
      </c>
      <c r="R9" s="109"/>
    </row>
    <row r="10" spans="1:18" s="3" customFormat="1" ht="35.1" customHeight="1" x14ac:dyDescent="0.15">
      <c r="A10" s="132" t="s">
        <v>19</v>
      </c>
      <c r="B10" s="68" t="s">
        <v>22</v>
      </c>
      <c r="C10" s="65">
        <v>396738.96</v>
      </c>
      <c r="D10" s="62">
        <v>40</v>
      </c>
      <c r="E10" s="15">
        <v>371464.71</v>
      </c>
      <c r="F10" s="16">
        <f t="shared" ref="F10:F16" si="0">$R$2*(2-E10/MIN(E$10:E$16))</f>
        <v>48.142340810480292</v>
      </c>
      <c r="G10" s="16">
        <f t="shared" ref="G10:G16" si="1">D10+F10</f>
        <v>88.142340810480292</v>
      </c>
      <c r="H10" s="22"/>
      <c r="I10" s="57">
        <f>+$C10/$C$21*H10</f>
        <v>0</v>
      </c>
      <c r="J10" s="95"/>
      <c r="K10" s="101"/>
      <c r="L10" s="52">
        <f t="shared" ref="L10:L14" si="2">E10</f>
        <v>371464.71</v>
      </c>
      <c r="M10" s="16">
        <f t="shared" ref="M10:M16" si="3">$R$2*(2-L10/MIN($L$10:$L$16))</f>
        <v>48.142340810480292</v>
      </c>
      <c r="N10" s="16">
        <f t="shared" ref="N10:N20" si="4">$D10+M10</f>
        <v>88.142340810480292</v>
      </c>
      <c r="O10" s="30"/>
      <c r="P10" s="23">
        <f>+$C10/$C$21*O10</f>
        <v>0</v>
      </c>
      <c r="Q10" s="24"/>
      <c r="R10" s="109"/>
    </row>
    <row r="11" spans="1:18" s="3" customFormat="1" ht="35.1" customHeight="1" x14ac:dyDescent="0.15">
      <c r="A11" s="133"/>
      <c r="B11" s="69" t="s">
        <v>23</v>
      </c>
      <c r="C11" s="66">
        <v>396738.96</v>
      </c>
      <c r="D11" s="42">
        <v>46</v>
      </c>
      <c r="E11" s="17">
        <v>379560.9</v>
      </c>
      <c r="F11" s="18">
        <f t="shared" si="0"/>
        <v>47.012086844353604</v>
      </c>
      <c r="G11" s="18">
        <f t="shared" si="1"/>
        <v>93.012086844353604</v>
      </c>
      <c r="H11" s="47"/>
      <c r="I11" s="38"/>
      <c r="J11" s="96"/>
      <c r="K11" s="102"/>
      <c r="L11" s="43">
        <f>E11*(1-K11)</f>
        <v>379560.9</v>
      </c>
      <c r="M11" s="18">
        <f t="shared" si="3"/>
        <v>47.012086844353604</v>
      </c>
      <c r="N11" s="18">
        <f t="shared" si="4"/>
        <v>93.012086844353604</v>
      </c>
      <c r="O11" s="59"/>
      <c r="P11" s="33"/>
      <c r="Q11" s="26"/>
      <c r="R11" s="109"/>
    </row>
    <row r="12" spans="1:18" s="3" customFormat="1" ht="35.1" customHeight="1" x14ac:dyDescent="0.15">
      <c r="A12" s="133"/>
      <c r="B12" s="69" t="s">
        <v>24</v>
      </c>
      <c r="C12" s="66">
        <v>396738.96</v>
      </c>
      <c r="D12" s="42">
        <v>45</v>
      </c>
      <c r="E12" s="17">
        <v>375751.89</v>
      </c>
      <c r="F12" s="18">
        <f t="shared" si="0"/>
        <v>47.543836798284559</v>
      </c>
      <c r="G12" s="18">
        <f t="shared" si="1"/>
        <v>92.543836798284559</v>
      </c>
      <c r="H12" s="47"/>
      <c r="I12" s="38">
        <f t="shared" ref="I12:I16" si="5">+$C12/$C$21*H12</f>
        <v>0</v>
      </c>
      <c r="J12" s="97"/>
      <c r="K12" s="102"/>
      <c r="L12" s="43">
        <f t="shared" si="2"/>
        <v>375751.89</v>
      </c>
      <c r="M12" s="18">
        <f t="shared" si="3"/>
        <v>47.543836798284559</v>
      </c>
      <c r="N12" s="18">
        <f t="shared" si="4"/>
        <v>92.543836798284559</v>
      </c>
      <c r="O12" s="29"/>
      <c r="P12" s="33">
        <f t="shared" ref="P12:P16" si="6">C12/$C$21*O12</f>
        <v>0</v>
      </c>
      <c r="Q12" s="26"/>
      <c r="R12" s="109"/>
    </row>
    <row r="13" spans="1:18" s="3" customFormat="1" ht="35.1" customHeight="1" x14ac:dyDescent="0.15">
      <c r="A13" s="133"/>
      <c r="B13" s="69" t="s">
        <v>25</v>
      </c>
      <c r="C13" s="66">
        <v>396738.96</v>
      </c>
      <c r="D13" s="42">
        <v>30</v>
      </c>
      <c r="E13" s="17">
        <v>377064.96000000002</v>
      </c>
      <c r="F13" s="18">
        <f t="shared" si="0"/>
        <v>47.360528035112992</v>
      </c>
      <c r="G13" s="18">
        <f t="shared" si="1"/>
        <v>77.360528035112992</v>
      </c>
      <c r="H13" s="47"/>
      <c r="I13" s="38">
        <f t="shared" si="5"/>
        <v>0</v>
      </c>
      <c r="J13" s="96"/>
      <c r="K13" s="103"/>
      <c r="L13" s="43">
        <f t="shared" si="2"/>
        <v>377064.96000000002</v>
      </c>
      <c r="M13" s="18">
        <f t="shared" si="3"/>
        <v>47.360528035112992</v>
      </c>
      <c r="N13" s="18">
        <f t="shared" si="4"/>
        <v>77.360528035112992</v>
      </c>
      <c r="O13" s="29"/>
      <c r="P13" s="33">
        <f t="shared" si="6"/>
        <v>0</v>
      </c>
      <c r="Q13" s="26"/>
      <c r="R13" s="109"/>
    </row>
    <row r="14" spans="1:18" s="3" customFormat="1" ht="35.1" customHeight="1" x14ac:dyDescent="0.15">
      <c r="A14" s="133"/>
      <c r="B14" s="69" t="s">
        <v>26</v>
      </c>
      <c r="C14" s="66">
        <v>396738.96</v>
      </c>
      <c r="D14" s="42">
        <v>45</v>
      </c>
      <c r="E14" s="87">
        <v>358158</v>
      </c>
      <c r="F14" s="88">
        <f t="shared" si="0"/>
        <v>50</v>
      </c>
      <c r="G14" s="88">
        <f t="shared" si="1"/>
        <v>95</v>
      </c>
      <c r="H14" s="89">
        <v>1</v>
      </c>
      <c r="I14" s="38">
        <f t="shared" si="5"/>
        <v>0.64760796831181955</v>
      </c>
      <c r="J14" s="97">
        <f>G14*I14</f>
        <v>61.522756989622856</v>
      </c>
      <c r="K14" s="103"/>
      <c r="L14" s="43">
        <f t="shared" si="2"/>
        <v>358158</v>
      </c>
      <c r="M14" s="18">
        <f t="shared" si="3"/>
        <v>50</v>
      </c>
      <c r="N14" s="18">
        <f t="shared" si="4"/>
        <v>95</v>
      </c>
      <c r="O14" s="100"/>
      <c r="P14" s="33"/>
      <c r="Q14" s="26"/>
      <c r="R14" s="109"/>
    </row>
    <row r="15" spans="1:18" s="3" customFormat="1" ht="35.1" customHeight="1" x14ac:dyDescent="0.15">
      <c r="A15" s="133"/>
      <c r="B15" s="69" t="s">
        <v>27</v>
      </c>
      <c r="C15" s="66">
        <v>396738.96</v>
      </c>
      <c r="D15" s="42">
        <v>43</v>
      </c>
      <c r="E15" s="17">
        <v>385916.79</v>
      </c>
      <c r="F15" s="18">
        <f t="shared" si="0"/>
        <v>46.124784313068531</v>
      </c>
      <c r="G15" s="18">
        <f t="shared" si="1"/>
        <v>89.124784313068531</v>
      </c>
      <c r="H15" s="47"/>
      <c r="I15" s="38">
        <f t="shared" si="5"/>
        <v>0</v>
      </c>
      <c r="J15" s="96"/>
      <c r="K15" s="102">
        <v>0.03</v>
      </c>
      <c r="L15" s="43">
        <f t="shared" ref="L15:L20" si="7">E15*(1-K15)</f>
        <v>374339.28629999998</v>
      </c>
      <c r="M15" s="18">
        <f t="shared" si="3"/>
        <v>47.741040783676482</v>
      </c>
      <c r="N15" s="18">
        <f t="shared" si="4"/>
        <v>90.741040783676482</v>
      </c>
      <c r="O15" s="29">
        <v>1</v>
      </c>
      <c r="P15" s="33">
        <f t="shared" si="6"/>
        <v>0.64760796831181955</v>
      </c>
      <c r="Q15" s="26">
        <f>P15*N15</f>
        <v>58.764621064416687</v>
      </c>
      <c r="R15" s="109"/>
    </row>
    <row r="16" spans="1:18" s="3" customFormat="1" ht="35.1" customHeight="1" thickBot="1" x14ac:dyDescent="0.2">
      <c r="A16" s="139"/>
      <c r="B16" s="70" t="s">
        <v>28</v>
      </c>
      <c r="C16" s="78">
        <v>396738.96</v>
      </c>
      <c r="D16" s="81">
        <v>25</v>
      </c>
      <c r="E16" s="56">
        <v>362692.5</v>
      </c>
      <c r="F16" s="54">
        <f t="shared" si="0"/>
        <v>49.36696932638668</v>
      </c>
      <c r="G16" s="54">
        <f t="shared" si="1"/>
        <v>74.36696932638668</v>
      </c>
      <c r="H16" s="55"/>
      <c r="I16" s="82">
        <f t="shared" si="5"/>
        <v>0</v>
      </c>
      <c r="J16" s="98"/>
      <c r="K16" s="105"/>
      <c r="L16" s="61">
        <f t="shared" si="7"/>
        <v>362692.5</v>
      </c>
      <c r="M16" s="21">
        <f t="shared" si="3"/>
        <v>49.36696932638668</v>
      </c>
      <c r="N16" s="21">
        <f t="shared" si="4"/>
        <v>74.36696932638668</v>
      </c>
      <c r="O16" s="37"/>
      <c r="P16" s="106">
        <f t="shared" si="6"/>
        <v>0</v>
      </c>
      <c r="Q16" s="36"/>
      <c r="R16" s="109"/>
    </row>
    <row r="17" spans="1:18" s="3" customFormat="1" ht="35.1" customHeight="1" x14ac:dyDescent="0.15">
      <c r="A17" s="132" t="s">
        <v>20</v>
      </c>
      <c r="B17" s="80" t="s">
        <v>24</v>
      </c>
      <c r="C17" s="65">
        <v>148527.09</v>
      </c>
      <c r="D17" s="62">
        <v>50</v>
      </c>
      <c r="E17" s="83">
        <v>123189.03</v>
      </c>
      <c r="F17" s="84">
        <f>$R$2*(2-E17/MIN(E$17:E$20))</f>
        <v>50</v>
      </c>
      <c r="G17" s="84">
        <f>D17+F17</f>
        <v>100</v>
      </c>
      <c r="H17" s="85">
        <v>1</v>
      </c>
      <c r="I17" s="86">
        <f>+$C17/$C$21*H17</f>
        <v>0.24244487356161534</v>
      </c>
      <c r="J17" s="104">
        <f>+I17*G17</f>
        <v>24.244487356161535</v>
      </c>
      <c r="K17" s="101"/>
      <c r="L17" s="52">
        <f t="shared" si="7"/>
        <v>123189.03</v>
      </c>
      <c r="M17" s="16">
        <f>$R$2*(2-L17/MIN($L$17:$L$20))</f>
        <v>50</v>
      </c>
      <c r="N17" s="16">
        <f t="shared" si="4"/>
        <v>100</v>
      </c>
      <c r="O17" s="22"/>
      <c r="P17" s="32"/>
      <c r="Q17" s="24"/>
      <c r="R17" s="109"/>
    </row>
    <row r="18" spans="1:18" s="3" customFormat="1" ht="35.1" customHeight="1" x14ac:dyDescent="0.15">
      <c r="A18" s="133"/>
      <c r="B18" s="69" t="s">
        <v>29</v>
      </c>
      <c r="C18" s="66">
        <v>148527.09</v>
      </c>
      <c r="D18" s="42">
        <v>50</v>
      </c>
      <c r="E18" s="17">
        <v>134750.56</v>
      </c>
      <c r="F18" s="18">
        <f>$R$2*(2-E18/MIN(E$17:E$20))</f>
        <v>45.307402777666162</v>
      </c>
      <c r="G18" s="18">
        <f t="shared" ref="G18:G20" si="8">D18+F18</f>
        <v>95.307402777666169</v>
      </c>
      <c r="H18" s="47"/>
      <c r="I18" s="25"/>
      <c r="J18" s="96"/>
      <c r="K18" s="102"/>
      <c r="L18" s="43">
        <f t="shared" si="7"/>
        <v>134750.56</v>
      </c>
      <c r="M18" s="18">
        <f>$R$2*(2-L18/MIN($L$17:$L$20))</f>
        <v>45.307402777666162</v>
      </c>
      <c r="N18" s="18">
        <f t="shared" si="4"/>
        <v>95.307402777666169</v>
      </c>
      <c r="O18" s="47"/>
      <c r="P18" s="33">
        <f t="shared" ref="P18:P20" si="9">C18/$C$21*O18</f>
        <v>0</v>
      </c>
      <c r="Q18" s="26"/>
      <c r="R18" s="109"/>
    </row>
    <row r="19" spans="1:18" s="3" customFormat="1" ht="35.1" customHeight="1" x14ac:dyDescent="0.15">
      <c r="A19" s="133"/>
      <c r="B19" s="69" t="s">
        <v>26</v>
      </c>
      <c r="C19" s="66">
        <v>148527.09</v>
      </c>
      <c r="D19" s="42">
        <v>35</v>
      </c>
      <c r="E19" s="17">
        <v>132520.92000000001</v>
      </c>
      <c r="F19" s="18">
        <f>$R$2*(2-E19/MIN(E$17:E$20))</f>
        <v>46.212369721557181</v>
      </c>
      <c r="G19" s="18">
        <f t="shared" si="8"/>
        <v>81.212369721557181</v>
      </c>
      <c r="H19" s="47"/>
      <c r="I19" s="25"/>
      <c r="J19" s="96"/>
      <c r="K19" s="102"/>
      <c r="L19" s="43">
        <f t="shared" si="7"/>
        <v>132520.92000000001</v>
      </c>
      <c r="M19" s="18">
        <f>$R$2*(2-L19/MIN($L$17:$L$20))</f>
        <v>46.212369721557181</v>
      </c>
      <c r="N19" s="18">
        <f t="shared" si="4"/>
        <v>81.212369721557181</v>
      </c>
      <c r="O19" s="47"/>
      <c r="P19" s="33">
        <f t="shared" si="9"/>
        <v>0</v>
      </c>
      <c r="Q19" s="26"/>
      <c r="R19" s="109"/>
    </row>
    <row r="20" spans="1:18" s="3" customFormat="1" ht="35.1" customHeight="1" thickBot="1" x14ac:dyDescent="0.2">
      <c r="A20" s="134"/>
      <c r="B20" s="70" t="s">
        <v>27</v>
      </c>
      <c r="C20" s="67">
        <v>148527.09</v>
      </c>
      <c r="D20" s="63">
        <v>36</v>
      </c>
      <c r="E20" s="56">
        <v>145151.28</v>
      </c>
      <c r="F20" s="54">
        <f>$R$2*(2-E20/MIN(E$17:E$20))</f>
        <v>41.085955462105673</v>
      </c>
      <c r="G20" s="54">
        <f t="shared" si="8"/>
        <v>77.085955462105673</v>
      </c>
      <c r="H20" s="55"/>
      <c r="I20" s="27"/>
      <c r="J20" s="98"/>
      <c r="K20" s="107">
        <v>0.03</v>
      </c>
      <c r="L20" s="53">
        <f t="shared" si="7"/>
        <v>140796.74160000001</v>
      </c>
      <c r="M20" s="54">
        <f>$R$2*(2-L20/MIN($L$17:$L$20))</f>
        <v>42.853376798242508</v>
      </c>
      <c r="N20" s="54">
        <f t="shared" si="4"/>
        <v>78.853376798242508</v>
      </c>
      <c r="O20" s="55">
        <v>1</v>
      </c>
      <c r="P20" s="34">
        <f t="shared" si="9"/>
        <v>0.24244487356161534</v>
      </c>
      <c r="Q20" s="28">
        <f>P20*N20</f>
        <v>19.117596967756317</v>
      </c>
      <c r="R20" s="109"/>
    </row>
    <row r="21" spans="1:18" s="41" customFormat="1" ht="42.75" customHeight="1" thickBot="1" x14ac:dyDescent="0.25">
      <c r="A21" s="40"/>
      <c r="B21" s="48" t="s">
        <v>11</v>
      </c>
      <c r="C21" s="49">
        <f>C9+C10+C17</f>
        <v>612622.11</v>
      </c>
      <c r="D21" s="50"/>
      <c r="E21" s="50"/>
      <c r="F21" s="50"/>
      <c r="G21" s="50"/>
      <c r="H21" s="50"/>
      <c r="I21" s="51" t="s">
        <v>12</v>
      </c>
      <c r="J21" s="71">
        <f>SUM(J9:J20)</f>
        <v>95.662488577175253</v>
      </c>
      <c r="K21" s="111"/>
      <c r="L21" s="112"/>
      <c r="M21" s="112"/>
      <c r="N21" s="112"/>
      <c r="O21" s="112"/>
      <c r="P21" s="113" t="s">
        <v>12</v>
      </c>
      <c r="Q21" s="60">
        <f>SUM(Q9:Q20)</f>
        <v>87.777462263563862</v>
      </c>
      <c r="R21" s="10"/>
    </row>
    <row r="24" spans="1:18" ht="14.25" x14ac:dyDescent="0.2">
      <c r="A24" s="1" t="s">
        <v>2</v>
      </c>
    </row>
    <row r="25" spans="1:18" ht="14.25" x14ac:dyDescent="0.2">
      <c r="A25" s="1" t="s">
        <v>33</v>
      </c>
    </row>
    <row r="27" spans="1:18" ht="56.25" customHeight="1" x14ac:dyDescent="0.2">
      <c r="A27" s="141"/>
      <c r="B27" s="141"/>
      <c r="C27" s="141"/>
      <c r="D27" s="141"/>
      <c r="E27" s="141"/>
      <c r="F27" s="141"/>
      <c r="G27" s="141"/>
    </row>
  </sheetData>
  <mergeCells count="8">
    <mergeCell ref="A3:Q3"/>
    <mergeCell ref="A4:Q4"/>
    <mergeCell ref="A5:Q5"/>
    <mergeCell ref="A27:G27"/>
    <mergeCell ref="E7:J7"/>
    <mergeCell ref="K7:Q7"/>
    <mergeCell ref="A17:A20"/>
    <mergeCell ref="A10:A16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I21426</cp:lastModifiedBy>
  <cp:lastPrinted>2021-11-19T11:28:43Z</cp:lastPrinted>
  <dcterms:created xsi:type="dcterms:W3CDTF">2007-03-30T09:59:06Z</dcterms:created>
  <dcterms:modified xsi:type="dcterms:W3CDTF">2023-06-08T08:20:33Z</dcterms:modified>
</cp:coreProperties>
</file>