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eneral\unidad_a\OPERACIONES_MEDIOS\2023\2.-EXPEDIENTES COMITE\3 - EVALUACIÓN\S-02500-2023 Segmento espacial EETT\Informe\"/>
    </mc:Choice>
  </mc:AlternateContent>
  <xr:revisionPtr revIDLastSave="0" documentId="13_ncr:1_{C124B797-4B29-4A9E-8D85-19AB67D4AFF1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ADJUDICADA'!$A$1:$K$21</definedName>
    <definedName name="_xlnm.Print_Area" localSheetId="1">valoración!$A$2:$Q$21</definedName>
  </definedNames>
  <calcPr calcId="191029"/>
</workbook>
</file>

<file path=xl/calcChain.xml><?xml version="1.0" encoding="utf-8"?>
<calcChain xmlns="http://schemas.openxmlformats.org/spreadsheetml/2006/main">
  <c r="K9" i="6" l="1"/>
  <c r="J17" i="6"/>
  <c r="J13" i="6"/>
  <c r="J10" i="6"/>
  <c r="J9" i="6"/>
  <c r="I13" i="6"/>
  <c r="I10" i="6"/>
  <c r="I9" i="6"/>
  <c r="I9" i="5"/>
  <c r="J9" i="5"/>
  <c r="C17" i="6"/>
  <c r="L14" i="5"/>
  <c r="F16" i="5"/>
  <c r="F15" i="5"/>
  <c r="F14" i="5"/>
  <c r="G14" i="5" s="1"/>
  <c r="F13" i="5"/>
  <c r="F12" i="5"/>
  <c r="F11" i="5"/>
  <c r="F10" i="5"/>
  <c r="F9" i="5"/>
  <c r="C17" i="5"/>
  <c r="P14" i="5" s="1"/>
  <c r="K16" i="6" l="1"/>
  <c r="K15" i="6"/>
  <c r="K14" i="6"/>
  <c r="K13" i="6"/>
  <c r="K12" i="6"/>
  <c r="K11" i="6"/>
  <c r="K10" i="6"/>
  <c r="A4" i="6" l="1"/>
  <c r="A3" i="6"/>
  <c r="A2" i="6"/>
  <c r="P15" i="5" l="1"/>
  <c r="L16" i="5"/>
  <c r="G16" i="5"/>
  <c r="L15" i="5"/>
  <c r="G15" i="5"/>
  <c r="L13" i="5"/>
  <c r="M14" i="5" s="1"/>
  <c r="N14" i="5" s="1"/>
  <c r="Q14" i="5" s="1"/>
  <c r="G13" i="5"/>
  <c r="L12" i="5"/>
  <c r="G12" i="5"/>
  <c r="L11" i="5"/>
  <c r="G11" i="5"/>
  <c r="L10" i="5"/>
  <c r="M10" i="5" s="1"/>
  <c r="N10" i="5" s="1"/>
  <c r="G10" i="5"/>
  <c r="L9" i="5"/>
  <c r="M9" i="5" s="1"/>
  <c r="N9" i="5" s="1"/>
  <c r="G9" i="5"/>
  <c r="M13" i="5" l="1"/>
  <c r="N13" i="5" s="1"/>
  <c r="I12" i="5"/>
  <c r="J12" i="5" s="1"/>
  <c r="P16" i="5"/>
  <c r="I11" i="5"/>
  <c r="J11" i="5" s="1"/>
  <c r="P11" i="5"/>
  <c r="P9" i="5"/>
  <c r="Q9" i="5" s="1"/>
  <c r="I13" i="5"/>
  <c r="J13" i="5" s="1"/>
  <c r="M12" i="5"/>
  <c r="N12" i="5" s="1"/>
  <c r="M15" i="5"/>
  <c r="N15" i="5" s="1"/>
  <c r="Q15" i="5" s="1"/>
  <c r="I16" i="5"/>
  <c r="J16" i="5" s="1"/>
  <c r="P13" i="5"/>
  <c r="I10" i="5"/>
  <c r="J10" i="5" s="1"/>
  <c r="I15" i="5"/>
  <c r="J15" i="5" s="1"/>
  <c r="M11" i="5"/>
  <c r="N11" i="5" s="1"/>
  <c r="P12" i="5"/>
  <c r="M16" i="5"/>
  <c r="N16" i="5" s="1"/>
  <c r="P10" i="5"/>
  <c r="Q10" i="5" s="1"/>
  <c r="Q13" i="5" l="1"/>
  <c r="Q12" i="5"/>
  <c r="Q16" i="5"/>
  <c r="Q11" i="5"/>
  <c r="J17" i="5"/>
  <c r="Q17" i="5" l="1"/>
</calcChain>
</file>

<file path=xl/sharedStrings.xml><?xml version="1.0" encoding="utf-8"?>
<sst xmlns="http://schemas.openxmlformats.org/spreadsheetml/2006/main" count="68" uniqueCount="34">
  <si>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</si>
  <si>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</si>
  <si>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</si>
  <si>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</si>
  <si>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</si>
  <si>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</si>
  <si>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</si>
  <si>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</si>
  <si>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</si>
  <si>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</si>
  <si>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</si>
  <si>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</si>
  <si>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</si>
  <si>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</si>
  <si>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</si>
  <si>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</si>
  <si>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</si>
  <si>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</si>
  <si>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</si>
  <si>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</si>
  <si>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</si>
  <si>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LOTE 1: Capacidad espacial en un satélite de referencia</t>
  </si>
  <si>
    <t>LOTE 2: Capacidad espacial en varios satélites alternativo</t>
  </si>
  <si>
    <t>LOTE 3: CAPACIDAD ESPACIAL GARANTIZADA V. C. ESPAÑA 2023</t>
  </si>
  <si>
    <t>Importe Oferta</t>
  </si>
  <si>
    <t>"Segmento espacial para estaciones terrenas y Vuelta ciclista España 2023 "</t>
  </si>
  <si>
    <t>Servicios Audiovisuales Overon, S.L</t>
  </si>
  <si>
    <t>Telefónica Broadcast Services S.L.U</t>
  </si>
  <si>
    <t>Tres sistemas de comunicacion SA</t>
  </si>
  <si>
    <t>M Three Satcom SL</t>
  </si>
  <si>
    <t>Madrid, a 22 de junio de 2023</t>
  </si>
  <si>
    <t>Alternativa 2: oferta conjunta "Tres Sistemas" por los dos lotes (2% de descuento)</t>
  </si>
  <si>
    <t>PROPUESTA DE ADJUDICACIÓN DEL EXPEDIENTE S-02500-2023</t>
  </si>
  <si>
    <t xml:space="preserve">Importe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</si>
</sst>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#,##0.00000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52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5" xfId="0" applyNumberFormat="1" applyFont="1" applyFill="1" applyBorder="1" applyAlignment="1">
      <alignment horizontal="left" vertical="top" wrapText="1"/>
    </xf>
    <xf numFmtId="164" fontId="5" fillId="0" borderId="26" xfId="2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4" fillId="5" borderId="0" xfId="0" applyFont="1" applyFill="1" applyBorder="1" applyAlignment="1">
      <alignment vertical="center" wrapText="1"/>
    </xf>
    <xf numFmtId="0" fontId="9" fillId="5" borderId="22" xfId="0" applyNumberFormat="1" applyFont="1" applyFill="1" applyBorder="1" applyAlignment="1">
      <alignment horizontal="right" vertical="center" wrapText="1"/>
    </xf>
    <xf numFmtId="166" fontId="16" fillId="5" borderId="22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5" fillId="5" borderId="25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4" fontId="6" fillId="4" borderId="27" xfId="0" applyNumberFormat="1" applyFont="1" applyFill="1" applyBorder="1" applyAlignment="1">
      <alignment horizontal="center" vertical="center"/>
    </xf>
    <xf numFmtId="165" fontId="5" fillId="0" borderId="30" xfId="2" applyNumberFormat="1" applyFont="1" applyFill="1" applyBorder="1" applyAlignment="1">
      <alignment horizontal="center" vertical="center"/>
    </xf>
    <xf numFmtId="10" fontId="5" fillId="0" borderId="3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4" fontId="6" fillId="0" borderId="37" xfId="0" applyNumberFormat="1" applyFont="1" applyFill="1" applyBorder="1" applyAlignment="1">
      <alignment horizontal="center" vertical="center"/>
    </xf>
    <xf numFmtId="0" fontId="6" fillId="0" borderId="27" xfId="0" applyNumberFormat="1" applyFont="1" applyFill="1" applyBorder="1" applyAlignment="1">
      <alignment horizontal="center" vertical="center" wrapText="1"/>
    </xf>
    <xf numFmtId="0" fontId="6" fillId="0" borderId="28" xfId="0" applyNumberFormat="1" applyFont="1" applyFill="1" applyBorder="1" applyAlignment="1">
      <alignment horizontal="center" vertical="center" wrapText="1"/>
    </xf>
    <xf numFmtId="0" fontId="6" fillId="0" borderId="29" xfId="0" applyNumberFormat="1" applyFont="1" applyFill="1" applyBorder="1" applyAlignment="1">
      <alignment horizontal="center" vertical="center" wrapText="1"/>
    </xf>
    <xf numFmtId="4" fontId="6" fillId="0" borderId="38" xfId="0" applyNumberFormat="1" applyFont="1" applyFill="1" applyBorder="1" applyAlignment="1">
      <alignment horizontal="center" vertical="center"/>
    </xf>
    <xf numFmtId="0" fontId="6" fillId="0" borderId="40" xfId="0" applyNumberFormat="1" applyFont="1" applyFill="1" applyBorder="1" applyAlignment="1">
      <alignment horizontal="center" vertical="center" wrapText="1"/>
    </xf>
    <xf numFmtId="0" fontId="6" fillId="0" borderId="41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horizontal="center" vertical="center" wrapText="1"/>
    </xf>
    <xf numFmtId="166" fontId="16" fillId="0" borderId="3" xfId="0" applyNumberFormat="1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166" fontId="6" fillId="0" borderId="40" xfId="0" applyNumberFormat="1" applyFont="1" applyFill="1" applyBorder="1" applyAlignment="1">
      <alignment horizontal="center" vertical="center"/>
    </xf>
    <xf numFmtId="166" fontId="6" fillId="0" borderId="41" xfId="0" applyNumberFormat="1" applyFont="1" applyFill="1" applyBorder="1" applyAlignment="1">
      <alignment horizontal="center" vertical="center"/>
    </xf>
    <xf numFmtId="4" fontId="6" fillId="0" borderId="41" xfId="0" applyNumberFormat="1" applyFont="1" applyFill="1" applyBorder="1" applyAlignment="1">
      <alignment horizontal="center" vertical="center"/>
    </xf>
    <xf numFmtId="166" fontId="6" fillId="0" borderId="21" xfId="0" applyNumberFormat="1" applyFont="1" applyFill="1" applyBorder="1" applyAlignment="1">
      <alignment horizontal="center" vertical="center"/>
    </xf>
    <xf numFmtId="166" fontId="6" fillId="0" borderId="42" xfId="0" applyNumberFormat="1" applyFont="1" applyFill="1" applyBorder="1" applyAlignment="1">
      <alignment horizontal="right" vertical="center" indent="1"/>
    </xf>
    <xf numFmtId="166" fontId="6" fillId="0" borderId="43" xfId="0" applyNumberFormat="1" applyFont="1" applyFill="1" applyBorder="1" applyAlignment="1">
      <alignment horizontal="right" vertical="center" indent="1"/>
    </xf>
    <xf numFmtId="167" fontId="6" fillId="0" borderId="29" xfId="0" quotePrefix="1" applyNumberFormat="1" applyFont="1" applyFill="1" applyBorder="1" applyAlignment="1">
      <alignment horizontal="center" vertical="center"/>
    </xf>
    <xf numFmtId="166" fontId="6" fillId="0" borderId="36" xfId="0" applyNumberFormat="1" applyFont="1" applyFill="1" applyBorder="1" applyAlignment="1">
      <alignment horizontal="right" vertical="center" indent="1"/>
    </xf>
    <xf numFmtId="166" fontId="6" fillId="0" borderId="46" xfId="0" applyNumberFormat="1" applyFont="1" applyFill="1" applyBorder="1" applyAlignment="1">
      <alignment horizontal="center" vertical="center"/>
    </xf>
    <xf numFmtId="166" fontId="6" fillId="0" borderId="47" xfId="0" applyNumberFormat="1" applyFont="1" applyFill="1" applyBorder="1" applyAlignment="1">
      <alignment horizontal="center" vertical="center"/>
    </xf>
    <xf numFmtId="4" fontId="6" fillId="0" borderId="28" xfId="0" quotePrefix="1" applyNumberFormat="1" applyFont="1" applyFill="1" applyBorder="1" applyAlignment="1">
      <alignment horizontal="center" vertical="center"/>
    </xf>
    <xf numFmtId="4" fontId="6" fillId="0" borderId="29" xfId="0" quotePrefix="1" applyNumberFormat="1" applyFont="1" applyFill="1" applyBorder="1" applyAlignment="1">
      <alignment horizontal="center" vertical="center"/>
    </xf>
    <xf numFmtId="164" fontId="5" fillId="0" borderId="48" xfId="2" applyFont="1" applyFill="1" applyBorder="1" applyAlignment="1">
      <alignment horizontal="center" vertical="center"/>
    </xf>
    <xf numFmtId="164" fontId="5" fillId="0" borderId="46" xfId="2" applyFont="1" applyFill="1" applyBorder="1" applyAlignment="1">
      <alignment horizontal="center" vertical="center"/>
    </xf>
    <xf numFmtId="164" fontId="5" fillId="0" borderId="49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5" fontId="5" fillId="0" borderId="19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4" fontId="9" fillId="0" borderId="12" xfId="0" applyNumberFormat="1" applyFont="1" applyFill="1" applyBorder="1" applyAlignment="1">
      <alignment horizontal="right" vertical="center" indent="1"/>
    </xf>
    <xf numFmtId="166" fontId="6" fillId="0" borderId="19" xfId="0" applyNumberFormat="1" applyFont="1" applyFill="1" applyBorder="1" applyAlignment="1">
      <alignment horizontal="right" vertical="center" indent="1"/>
    </xf>
    <xf numFmtId="4" fontId="9" fillId="0" borderId="19" xfId="0" applyNumberFormat="1" applyFont="1" applyFill="1" applyBorder="1" applyAlignment="1">
      <alignment horizontal="right" vertical="center" indent="1"/>
    </xf>
    <xf numFmtId="4" fontId="9" fillId="0" borderId="2" xfId="0" applyNumberFormat="1" applyFont="1" applyFill="1" applyBorder="1" applyAlignment="1">
      <alignment horizontal="right" vertical="center" indent="1"/>
    </xf>
    <xf numFmtId="0" fontId="6" fillId="4" borderId="40" xfId="0" applyNumberFormat="1" applyFont="1" applyFill="1" applyBorder="1" applyAlignment="1">
      <alignment horizontal="center" vertical="center" wrapText="1"/>
    </xf>
    <xf numFmtId="166" fontId="6" fillId="4" borderId="40" xfId="0" applyNumberFormat="1" applyFont="1" applyFill="1" applyBorder="1" applyAlignment="1">
      <alignment horizontal="center" vertical="center"/>
    </xf>
    <xf numFmtId="4" fontId="6" fillId="4" borderId="39" xfId="0" applyNumberFormat="1" applyFont="1" applyFill="1" applyBorder="1" applyAlignment="1">
      <alignment horizontal="center" vertical="center"/>
    </xf>
    <xf numFmtId="166" fontId="6" fillId="4" borderId="35" xfId="0" applyNumberFormat="1" applyFont="1" applyFill="1" applyBorder="1" applyAlignment="1">
      <alignment horizontal="right" vertical="center" indent="1"/>
    </xf>
    <xf numFmtId="165" fontId="5" fillId="4" borderId="11" xfId="2" applyNumberFormat="1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45" xfId="2" applyFont="1" applyFill="1" applyBorder="1" applyAlignment="1">
      <alignment horizontal="center" vertical="center"/>
    </xf>
    <xf numFmtId="0" fontId="6" fillId="4" borderId="11" xfId="0" applyNumberFormat="1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/>
    </xf>
    <xf numFmtId="4" fontId="6" fillId="4" borderId="44" xfId="0" applyNumberFormat="1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164" fontId="5" fillId="4" borderId="13" xfId="2" applyFont="1" applyFill="1" applyBorder="1" applyAlignment="1">
      <alignment horizontal="center" vertical="center"/>
    </xf>
    <xf numFmtId="166" fontId="6" fillId="4" borderId="45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right" vertical="center" indent="1"/>
    </xf>
    <xf numFmtId="0" fontId="1" fillId="0" borderId="19" xfId="0" applyFont="1" applyFill="1" applyBorder="1"/>
    <xf numFmtId="4" fontId="6" fillId="0" borderId="41" xfId="0" quotePrefix="1" applyNumberFormat="1" applyFont="1" applyFill="1" applyBorder="1" applyAlignment="1">
      <alignment horizontal="center" vertical="center"/>
    </xf>
    <xf numFmtId="4" fontId="6" fillId="0" borderId="21" xfId="0" quotePrefix="1" applyNumberFormat="1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4" fontId="6" fillId="0" borderId="5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center" vertical="center"/>
    </xf>
    <xf numFmtId="4" fontId="6" fillId="0" borderId="53" xfId="0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4" fontId="9" fillId="0" borderId="9" xfId="0" applyNumberFormat="1" applyFont="1" applyFill="1" applyBorder="1" applyAlignment="1">
      <alignment horizontal="right" vertical="center" indent="1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/>
    </xf>
    <xf numFmtId="4" fontId="6" fillId="0" borderId="24" xfId="0" applyNumberFormat="1" applyFont="1" applyFill="1" applyBorder="1" applyAlignment="1">
      <alignment horizontal="center" vertical="center"/>
    </xf>
    <xf numFmtId="166" fontId="6" fillId="0" borderId="54" xfId="0" applyNumberFormat="1" applyFont="1" applyFill="1" applyBorder="1" applyAlignment="1">
      <alignment horizontal="center" vertical="center"/>
    </xf>
    <xf numFmtId="166" fontId="6" fillId="0" borderId="55" xfId="0" applyNumberFormat="1" applyFont="1" applyFill="1" applyBorder="1" applyAlignment="1">
      <alignment horizontal="center" vertical="center"/>
    </xf>
    <xf numFmtId="166" fontId="6" fillId="0" borderId="56" xfId="0" applyNumberFormat="1" applyFont="1" applyFill="1" applyBorder="1" applyAlignment="1">
      <alignment horizontal="center" vertical="center"/>
    </xf>
    <xf numFmtId="167" fontId="6" fillId="0" borderId="21" xfId="0" quotePrefix="1" applyNumberFormat="1" applyFont="1" applyFill="1" applyBorder="1" applyAlignment="1">
      <alignment horizontal="center" vertical="center"/>
    </xf>
    <xf numFmtId="164" fontId="19" fillId="5" borderId="26" xfId="2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23" xfId="2" applyNumberFormat="1" applyFont="1" applyFill="1" applyBorder="1" applyAlignment="1">
      <alignment horizontal="left" vertical="center"/>
    </xf>
    <xf numFmtId="165" fontId="17" fillId="0" borderId="24" xfId="2" applyNumberFormat="1" applyFont="1" applyFill="1" applyBorder="1" applyAlignment="1">
      <alignment horizontal="left" vertical="center"/>
    </xf>
    <xf numFmtId="0" fontId="18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9" fontId="17" fillId="0" borderId="4" xfId="3" applyFont="1" applyFill="1" applyBorder="1" applyAlignment="1">
      <alignment horizontal="left" vertical="center"/>
    </xf>
    <xf numFmtId="9" fontId="17" fillId="0" borderId="23" xfId="3" applyFont="1" applyFill="1" applyBorder="1" applyAlignment="1">
      <alignment horizontal="left" vertical="center"/>
    </xf>
    <xf numFmtId="9" fontId="17" fillId="0" borderId="24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topLeftCell="A7" workbookViewId="0">
      <selection activeCell="E13" sqref="E13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1" ht="48" customHeight="1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8" x14ac:dyDescent="0.25">
      <c r="A2" s="146" t="str">
        <f>valoración!A3</f>
        <v>PROPUESTA DE ADJUDICACIÓN DEL EXPEDIENTE S-02500-2023</v>
      </c>
      <c r="B2" s="146"/>
      <c r="C2" s="146"/>
      <c r="D2" s="146"/>
      <c r="E2" s="146"/>
      <c r="F2" s="146"/>
      <c r="G2" s="146"/>
      <c r="H2" s="146"/>
      <c r="I2" s="146"/>
      <c r="J2" s="146"/>
      <c r="K2" s="56"/>
    </row>
    <row r="3" spans="1:11" ht="18" x14ac:dyDescent="0.25">
      <c r="A3" s="146" t="str">
        <f>valoración!A4</f>
        <v>"Segmento espacial para estaciones terrenas y Vuelta ciclista España 2023 "</v>
      </c>
      <c r="B3" s="146"/>
      <c r="C3" s="146"/>
      <c r="D3" s="146"/>
      <c r="E3" s="146"/>
      <c r="F3" s="146"/>
      <c r="G3" s="146"/>
      <c r="H3" s="146"/>
      <c r="I3" s="146"/>
      <c r="J3" s="146"/>
      <c r="K3" s="56"/>
    </row>
    <row r="4" spans="1:11" ht="18" x14ac:dyDescent="0.25">
      <c r="A4" s="146" t="str">
        <f>valoración!A5</f>
        <v>RESUMEN PUNTUACIÓN TÉCNICA Y ECONÓMICA</v>
      </c>
      <c r="B4" s="146"/>
      <c r="C4" s="146"/>
      <c r="D4" s="146"/>
      <c r="E4" s="146"/>
      <c r="F4" s="146"/>
      <c r="G4" s="146"/>
      <c r="H4" s="146"/>
      <c r="I4" s="146"/>
      <c r="J4" s="146"/>
      <c r="K4" s="56"/>
    </row>
    <row r="5" spans="1:11" x14ac:dyDescent="0.2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3.5" thickBot="1" x14ac:dyDescent="0.25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1" ht="30.75" customHeight="1" thickBot="1" x14ac:dyDescent="0.25">
      <c r="A7" s="56"/>
      <c r="B7" s="56"/>
      <c r="C7" s="56"/>
      <c r="D7" s="56"/>
      <c r="E7" s="143" t="s">
        <v>15</v>
      </c>
      <c r="F7" s="144"/>
      <c r="G7" s="144"/>
      <c r="H7" s="144"/>
      <c r="I7" s="144"/>
      <c r="J7" s="145"/>
      <c r="K7" s="56"/>
    </row>
    <row r="8" spans="1:11" ht="30.75" thickBot="1" x14ac:dyDescent="0.25">
      <c r="A8" s="15" t="s">
        <v>4</v>
      </c>
      <c r="B8" s="118" t="s">
        <v>5</v>
      </c>
      <c r="C8" s="119" t="s">
        <v>6</v>
      </c>
      <c r="D8" s="120" t="s">
        <v>0</v>
      </c>
      <c r="E8" s="118" t="s">
        <v>33</v>
      </c>
      <c r="F8" s="119" t="s">
        <v>1</v>
      </c>
      <c r="G8" s="119" t="s">
        <v>17</v>
      </c>
      <c r="H8" s="119" t="s">
        <v>10</v>
      </c>
      <c r="I8" s="119" t="s">
        <v>11</v>
      </c>
      <c r="J8" s="120" t="s">
        <v>12</v>
      </c>
      <c r="K8" s="119" t="s">
        <v>20</v>
      </c>
    </row>
    <row r="9" spans="1:11" ht="45.75" thickBot="1" x14ac:dyDescent="0.25">
      <c r="A9" s="66" t="s">
        <v>21</v>
      </c>
      <c r="B9" s="122" t="s">
        <v>26</v>
      </c>
      <c r="C9" s="123">
        <v>368075</v>
      </c>
      <c r="D9" s="124">
        <v>10</v>
      </c>
      <c r="E9" s="125">
        <v>301980</v>
      </c>
      <c r="F9" s="126">
        <v>90</v>
      </c>
      <c r="G9" s="127">
        <v>100</v>
      </c>
      <c r="H9" s="128">
        <v>1</v>
      </c>
      <c r="I9" s="129">
        <f>+C9/C17*H9</f>
        <v>0.41290468052120838</v>
      </c>
      <c r="J9" s="130">
        <f>+G9*I9</f>
        <v>41.290468052120836</v>
      </c>
      <c r="K9" s="131">
        <f t="shared" ref="K9:K16" si="0">100-($E9*100/$C9)</f>
        <v>17.956938124023637</v>
      </c>
    </row>
    <row r="10" spans="1:11" ht="45" x14ac:dyDescent="0.2">
      <c r="A10" s="137" t="s">
        <v>22</v>
      </c>
      <c r="B10" s="69" t="s">
        <v>26</v>
      </c>
      <c r="C10" s="132">
        <v>366470</v>
      </c>
      <c r="D10" s="121">
        <v>10</v>
      </c>
      <c r="E10" s="19">
        <v>314328</v>
      </c>
      <c r="F10" s="20">
        <v>90</v>
      </c>
      <c r="G10" s="97">
        <v>100</v>
      </c>
      <c r="H10" s="29">
        <v>1</v>
      </c>
      <c r="I10" s="30">
        <f>+C10/C17*H10</f>
        <v>0.41110419960770828</v>
      </c>
      <c r="J10" s="31">
        <f>+G10*I10</f>
        <v>41.110419960770827</v>
      </c>
      <c r="K10" s="68">
        <f t="shared" si="0"/>
        <v>14.228176931263135</v>
      </c>
    </row>
    <row r="11" spans="1:11" ht="45" x14ac:dyDescent="0.2">
      <c r="A11" s="138"/>
      <c r="B11" s="70" t="s">
        <v>27</v>
      </c>
      <c r="C11" s="133">
        <v>366470</v>
      </c>
      <c r="D11" s="116">
        <v>0</v>
      </c>
      <c r="E11" s="23">
        <v>360674</v>
      </c>
      <c r="F11" s="24">
        <v>76.729976330457347</v>
      </c>
      <c r="G11" s="24">
        <v>76.729976330457347</v>
      </c>
      <c r="H11" s="39"/>
      <c r="I11" s="33"/>
      <c r="J11" s="34"/>
      <c r="K11" s="72">
        <f t="shared" si="0"/>
        <v>1.5815755723524489</v>
      </c>
    </row>
    <row r="12" spans="1:11" ht="45.75" thickBot="1" x14ac:dyDescent="0.25">
      <c r="A12" s="139"/>
      <c r="B12" s="71" t="s">
        <v>28</v>
      </c>
      <c r="C12" s="134">
        <v>366470</v>
      </c>
      <c r="D12" s="117">
        <v>0</v>
      </c>
      <c r="E12" s="26">
        <v>345982.8</v>
      </c>
      <c r="F12" s="27">
        <v>80.9364358249981</v>
      </c>
      <c r="G12" s="27">
        <v>80.9364358249981</v>
      </c>
      <c r="H12" s="115"/>
      <c r="I12" s="95"/>
      <c r="J12" s="96"/>
      <c r="K12" s="72">
        <f t="shared" si="0"/>
        <v>5.5904166780364051</v>
      </c>
    </row>
    <row r="13" spans="1:11" ht="45" x14ac:dyDescent="0.2">
      <c r="A13" s="140" t="s">
        <v>23</v>
      </c>
      <c r="B13" s="73" t="s">
        <v>26</v>
      </c>
      <c r="C13" s="78">
        <v>156883.5</v>
      </c>
      <c r="D13" s="121">
        <v>10</v>
      </c>
      <c r="E13" s="19">
        <v>123906.3</v>
      </c>
      <c r="F13" s="20">
        <v>90</v>
      </c>
      <c r="G13" s="97">
        <v>100</v>
      </c>
      <c r="H13" s="29">
        <v>1</v>
      </c>
      <c r="I13" s="30">
        <f>+C13/C17*H13</f>
        <v>0.17599111987108332</v>
      </c>
      <c r="J13" s="31">
        <f>+G13*I13</f>
        <v>17.599111987108333</v>
      </c>
      <c r="K13" s="72">
        <f t="shared" si="0"/>
        <v>21.020183766935332</v>
      </c>
    </row>
    <row r="14" spans="1:11" ht="45" x14ac:dyDescent="0.2">
      <c r="A14" s="141"/>
      <c r="B14" s="74" t="s">
        <v>27</v>
      </c>
      <c r="C14" s="79">
        <v>156883.5</v>
      </c>
      <c r="D14" s="80">
        <v>10</v>
      </c>
      <c r="E14" s="23">
        <v>128184</v>
      </c>
      <c r="F14" s="24">
        <v>86.892869854075215</v>
      </c>
      <c r="G14" s="24">
        <v>96.892869854075215</v>
      </c>
      <c r="H14" s="32"/>
      <c r="I14" s="33"/>
      <c r="J14" s="34"/>
      <c r="K14" s="72">
        <f t="shared" si="0"/>
        <v>18.293510789853613</v>
      </c>
    </row>
    <row r="15" spans="1:11" ht="45" x14ac:dyDescent="0.2">
      <c r="A15" s="141"/>
      <c r="B15" s="74" t="s">
        <v>28</v>
      </c>
      <c r="C15" s="80">
        <v>156883.5</v>
      </c>
      <c r="D15" s="80">
        <v>10</v>
      </c>
      <c r="E15" s="23">
        <v>150534.9</v>
      </c>
      <c r="F15" s="24">
        <v>70.658174765932017</v>
      </c>
      <c r="G15" s="24">
        <v>80.658174765932017</v>
      </c>
      <c r="H15" s="39"/>
      <c r="I15" s="33"/>
      <c r="J15" s="34"/>
      <c r="K15" s="72">
        <f t="shared" si="0"/>
        <v>4.0466970713937371</v>
      </c>
    </row>
    <row r="16" spans="1:11" ht="30.75" thickBot="1" x14ac:dyDescent="0.25">
      <c r="A16" s="142"/>
      <c r="B16" s="75" t="s">
        <v>29</v>
      </c>
      <c r="C16" s="81">
        <v>156883.5</v>
      </c>
      <c r="D16" s="135">
        <v>0</v>
      </c>
      <c r="E16" s="21">
        <v>139986.6</v>
      </c>
      <c r="F16" s="22">
        <v>78.319988572009649</v>
      </c>
      <c r="G16" s="22">
        <v>78.319988572009649</v>
      </c>
      <c r="H16" s="35"/>
      <c r="I16" s="36"/>
      <c r="J16" s="37"/>
      <c r="K16" s="72">
        <f t="shared" si="0"/>
        <v>10.770348698237868</v>
      </c>
    </row>
    <row r="17" spans="1:11" ht="45.75" thickBot="1" x14ac:dyDescent="0.25">
      <c r="A17" s="57"/>
      <c r="B17" s="58" t="s">
        <v>13</v>
      </c>
      <c r="C17" s="59">
        <f>C9+C12+C15</f>
        <v>891428.5</v>
      </c>
      <c r="D17" s="60"/>
      <c r="E17" s="60"/>
      <c r="F17" s="60"/>
      <c r="G17" s="60"/>
      <c r="H17" s="60"/>
      <c r="I17" s="61" t="s">
        <v>19</v>
      </c>
      <c r="J17" s="136">
        <f>SUM(J9:J16)</f>
        <v>100</v>
      </c>
      <c r="K17" s="56"/>
    </row>
    <row r="18" spans="1:11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</row>
    <row r="19" spans="1:11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</row>
    <row r="20" spans="1:11" ht="14.25" x14ac:dyDescent="0.2">
      <c r="A20" s="62" t="s">
        <v>2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</row>
    <row r="21" spans="1:11" ht="14.25" x14ac:dyDescent="0.2">
      <c r="A21" s="62" t="s">
        <v>30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</row>
    <row r="22" spans="1:11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</row>
  </sheetData>
  <mergeCells count="6">
    <mergeCell ref="A10:A12"/>
    <mergeCell ref="A13:A16"/>
    <mergeCell ref="E7:J7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3"/>
  <sheetViews>
    <sheetView showGridLines="0" showZeros="0" zoomScaleNormal="100" workbookViewId="0">
      <selection activeCell="I10" sqref="I10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90</v>
      </c>
    </row>
    <row r="3" spans="1:21" s="3" customFormat="1" ht="22.5" customHeight="1" x14ac:dyDescent="0.15">
      <c r="A3" s="151" t="s">
        <v>32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T3" s="28" t="s">
        <v>9</v>
      </c>
    </row>
    <row r="4" spans="1:21" s="3" customFormat="1" ht="22.5" customHeight="1" x14ac:dyDescent="0.15">
      <c r="A4" s="151" t="s">
        <v>25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</row>
    <row r="5" spans="1:21" s="3" customFormat="1" ht="24.6" customHeight="1" x14ac:dyDescent="0.15">
      <c r="A5" s="151" t="s">
        <v>3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</row>
    <row r="6" spans="1:21" s="3" customFormat="1" ht="24.6" customHeight="1" thickBot="1" x14ac:dyDescent="0.2">
      <c r="A6" s="25"/>
      <c r="B6" s="25"/>
      <c r="C6" s="25"/>
      <c r="D6" s="25"/>
      <c r="E6" s="25"/>
      <c r="F6" s="25"/>
      <c r="G6" s="25"/>
      <c r="H6" s="4"/>
    </row>
    <row r="7" spans="1:21" s="3" customFormat="1" ht="24.75" customHeight="1" thickBot="1" x14ac:dyDescent="0.3">
      <c r="A7" s="2"/>
      <c r="B7" s="6"/>
      <c r="C7" s="7"/>
      <c r="D7" s="7"/>
      <c r="E7" s="143" t="s">
        <v>15</v>
      </c>
      <c r="F7" s="144"/>
      <c r="G7" s="144"/>
      <c r="H7" s="144"/>
      <c r="I7" s="144"/>
      <c r="J7" s="145"/>
      <c r="K7" s="148" t="s">
        <v>31</v>
      </c>
      <c r="L7" s="149"/>
      <c r="M7" s="149"/>
      <c r="N7" s="149"/>
      <c r="O7" s="149"/>
      <c r="P7" s="149"/>
      <c r="Q7" s="150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24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24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63" customHeight="1" thickBot="1" x14ac:dyDescent="0.2">
      <c r="A9" s="66" t="s">
        <v>21</v>
      </c>
      <c r="B9" s="108" t="s">
        <v>26</v>
      </c>
      <c r="C9" s="109">
        <v>368075</v>
      </c>
      <c r="D9" s="110">
        <v>10</v>
      </c>
      <c r="E9" s="111">
        <v>301980</v>
      </c>
      <c r="F9" s="51">
        <f>$U$2*(2-E9/MIN(E$9:E$9))</f>
        <v>90</v>
      </c>
      <c r="G9" s="55">
        <f>D9+F9</f>
        <v>100</v>
      </c>
      <c r="H9" s="105">
        <v>1</v>
      </c>
      <c r="I9" s="106">
        <f>+$C9/$C$17*H9</f>
        <v>0.41290468052120838</v>
      </c>
      <c r="J9" s="112">
        <f>+G9*I9</f>
        <v>41.290468052120836</v>
      </c>
      <c r="K9" s="43"/>
      <c r="L9" s="44">
        <f>+$E9*(1-K9)</f>
        <v>301980</v>
      </c>
      <c r="M9" s="20">
        <f>$U$2*(2-L9/MIN(L$9:L$9))</f>
        <v>90</v>
      </c>
      <c r="N9" s="97">
        <f>$D9+M9</f>
        <v>100</v>
      </c>
      <c r="O9" s="29">
        <v>1</v>
      </c>
      <c r="P9" s="30">
        <f t="shared" ref="P9:P16" si="0">+$C9/$C$17*O9</f>
        <v>0.41290468052120838</v>
      </c>
      <c r="Q9" s="31">
        <f>+N9*P9</f>
        <v>41.290468052120836</v>
      </c>
    </row>
    <row r="10" spans="1:21" s="3" customFormat="1" ht="35.1" customHeight="1" x14ac:dyDescent="0.15">
      <c r="A10" s="137" t="s">
        <v>22</v>
      </c>
      <c r="B10" s="108" t="s">
        <v>26</v>
      </c>
      <c r="C10" s="113">
        <v>366470</v>
      </c>
      <c r="D10" s="63">
        <v>10</v>
      </c>
      <c r="E10" s="104">
        <v>314328</v>
      </c>
      <c r="F10" s="51">
        <f>$U$2*(2-E10/MIN(E$10:E$12))</f>
        <v>90</v>
      </c>
      <c r="G10" s="55">
        <f t="shared" ref="G10:G16" si="1">D10+F10</f>
        <v>100</v>
      </c>
      <c r="H10" s="105">
        <v>1</v>
      </c>
      <c r="I10" s="106">
        <f>+$C10/$C$17*H10</f>
        <v>0.41110419960770828</v>
      </c>
      <c r="J10" s="112">
        <f t="shared" ref="J10:J16" si="2">+G10*I10</f>
        <v>41.110419960770827</v>
      </c>
      <c r="K10" s="43"/>
      <c r="L10" s="44">
        <f t="shared" ref="L10:L16" si="3">+$E10*(1-K10)</f>
        <v>314328</v>
      </c>
      <c r="M10" s="20">
        <f>$U$2*(2-L10/MIN(L$10:L$12))</f>
        <v>90</v>
      </c>
      <c r="N10" s="20">
        <f t="shared" ref="N10:N16" si="4">$D10+M10</f>
        <v>100</v>
      </c>
      <c r="O10" s="41"/>
      <c r="P10" s="30">
        <f t="shared" si="0"/>
        <v>0</v>
      </c>
      <c r="Q10" s="31">
        <f t="shared" ref="Q10:Q16" si="5">+N10*P10</f>
        <v>0</v>
      </c>
    </row>
    <row r="11" spans="1:21" s="3" customFormat="1" ht="35.1" customHeight="1" x14ac:dyDescent="0.15">
      <c r="A11" s="138"/>
      <c r="B11" s="53" t="s">
        <v>27</v>
      </c>
      <c r="C11" s="86">
        <v>366470</v>
      </c>
      <c r="D11" s="88">
        <v>0</v>
      </c>
      <c r="E11" s="85">
        <v>360674</v>
      </c>
      <c r="F11" s="24">
        <f>$U$2*(2-E11/MIN(E$10:E$12))</f>
        <v>76.729976330457347</v>
      </c>
      <c r="G11" s="24">
        <f t="shared" si="1"/>
        <v>76.729976330457347</v>
      </c>
      <c r="H11" s="38"/>
      <c r="I11" s="33">
        <f>+$C11/$C$17*H11</f>
        <v>0</v>
      </c>
      <c r="J11" s="34">
        <f t="shared" si="2"/>
        <v>0</v>
      </c>
      <c r="K11" s="45"/>
      <c r="L11" s="46">
        <f t="shared" si="3"/>
        <v>360674</v>
      </c>
      <c r="M11" s="24">
        <f>$U$2*(2-L11/MIN(L$10:L$12))</f>
        <v>76.729976330457347</v>
      </c>
      <c r="N11" s="24">
        <f t="shared" si="4"/>
        <v>76.729976330457347</v>
      </c>
      <c r="O11" s="39"/>
      <c r="P11" s="33">
        <f t="shared" si="0"/>
        <v>0</v>
      </c>
      <c r="Q11" s="34">
        <f t="shared" si="5"/>
        <v>0</v>
      </c>
    </row>
    <row r="12" spans="1:21" s="3" customFormat="1" ht="35.1" customHeight="1" thickBot="1" x14ac:dyDescent="0.2">
      <c r="A12" s="139"/>
      <c r="B12" s="54" t="s">
        <v>28</v>
      </c>
      <c r="C12" s="87">
        <v>366470</v>
      </c>
      <c r="D12" s="89">
        <v>0</v>
      </c>
      <c r="E12" s="83">
        <v>345982.8</v>
      </c>
      <c r="F12" s="22">
        <f>$U$2*(2-E12/MIN(E$10:E$12))</f>
        <v>80.9364358249981</v>
      </c>
      <c r="G12" s="22">
        <f t="shared" si="1"/>
        <v>80.9364358249981</v>
      </c>
      <c r="H12" s="48"/>
      <c r="I12" s="36">
        <f>+$C12/$C$17*H12</f>
        <v>0</v>
      </c>
      <c r="J12" s="37">
        <f t="shared" si="2"/>
        <v>0</v>
      </c>
      <c r="K12" s="93">
        <v>0.02</v>
      </c>
      <c r="L12" s="98">
        <f t="shared" si="3"/>
        <v>339063.14399999997</v>
      </c>
      <c r="M12" s="27">
        <f>$U$2*(2-L12/MIN(L$10:L$12))</f>
        <v>82.917707108498135</v>
      </c>
      <c r="N12" s="99">
        <f t="shared" si="4"/>
        <v>82.917707108498135</v>
      </c>
      <c r="O12" s="94">
        <v>1</v>
      </c>
      <c r="P12" s="95">
        <f t="shared" si="0"/>
        <v>0.41110419960770828</v>
      </c>
      <c r="Q12" s="96">
        <f t="shared" si="5"/>
        <v>34.087817614145507</v>
      </c>
    </row>
    <row r="13" spans="1:21" s="3" customFormat="1" ht="35.1" customHeight="1" x14ac:dyDescent="0.15">
      <c r="A13" s="140" t="s">
        <v>23</v>
      </c>
      <c r="B13" s="101" t="s">
        <v>26</v>
      </c>
      <c r="C13" s="102">
        <v>156883.5</v>
      </c>
      <c r="D13" s="103">
        <v>10</v>
      </c>
      <c r="E13" s="104">
        <v>123906.3</v>
      </c>
      <c r="F13" s="51">
        <f>$U$2*(2-E13/MIN(E$13:E$16))</f>
        <v>90</v>
      </c>
      <c r="G13" s="55">
        <f t="shared" si="1"/>
        <v>100</v>
      </c>
      <c r="H13" s="105">
        <v>1</v>
      </c>
      <c r="I13" s="106">
        <f>+$C13/$C$17*H13</f>
        <v>0.17599111987108332</v>
      </c>
      <c r="J13" s="107">
        <f t="shared" si="2"/>
        <v>17.599111987108333</v>
      </c>
      <c r="K13" s="43"/>
      <c r="L13" s="44">
        <f t="shared" si="3"/>
        <v>123906.3</v>
      </c>
      <c r="M13" s="20">
        <f>$U$2*(2-L13/MIN(L$13:L$16))</f>
        <v>90</v>
      </c>
      <c r="N13" s="20">
        <f t="shared" si="4"/>
        <v>100</v>
      </c>
      <c r="O13" s="41"/>
      <c r="P13" s="30">
        <f t="shared" si="0"/>
        <v>0</v>
      </c>
      <c r="Q13" s="31">
        <f t="shared" si="5"/>
        <v>0</v>
      </c>
    </row>
    <row r="14" spans="1:21" s="3" customFormat="1" ht="35.1" customHeight="1" x14ac:dyDescent="0.15">
      <c r="A14" s="141"/>
      <c r="B14" s="74" t="s">
        <v>27</v>
      </c>
      <c r="C14" s="79">
        <v>156883.5</v>
      </c>
      <c r="D14" s="77">
        <v>10</v>
      </c>
      <c r="E14" s="82">
        <v>128184</v>
      </c>
      <c r="F14" s="24">
        <f>$U$2*(2-E14/MIN(E$13:E$16))</f>
        <v>86.892869854075215</v>
      </c>
      <c r="G14" s="24">
        <f>D14+F14</f>
        <v>96.892869854075215</v>
      </c>
      <c r="H14" s="64"/>
      <c r="I14" s="65"/>
      <c r="J14" s="90"/>
      <c r="K14" s="45"/>
      <c r="L14" s="46">
        <f t="shared" ref="L14" si="6">+$E14*(1-K14)</f>
        <v>128184</v>
      </c>
      <c r="M14" s="24">
        <f>$U$2*(2-L14/MIN(L$13:L$16))</f>
        <v>86.892869854075215</v>
      </c>
      <c r="N14" s="24">
        <f t="shared" ref="N14" si="7">$D14+M14</f>
        <v>96.892869854075215</v>
      </c>
      <c r="O14" s="39"/>
      <c r="P14" s="33">
        <f t="shared" si="0"/>
        <v>0</v>
      </c>
      <c r="Q14" s="34">
        <f t="shared" ref="Q14" si="8">+N14*P14</f>
        <v>0</v>
      </c>
    </row>
    <row r="15" spans="1:21" s="3" customFormat="1" ht="35.1" customHeight="1" x14ac:dyDescent="0.15">
      <c r="A15" s="141"/>
      <c r="B15" s="74" t="s">
        <v>28</v>
      </c>
      <c r="C15" s="80">
        <v>156883.5</v>
      </c>
      <c r="D15" s="77">
        <v>10</v>
      </c>
      <c r="E15" s="85">
        <v>150534.9</v>
      </c>
      <c r="F15" s="24">
        <f>$U$2*(2-E15/MIN(E$13:E$16))</f>
        <v>70.658174765932017</v>
      </c>
      <c r="G15" s="114">
        <f t="shared" si="1"/>
        <v>80.658174765932017</v>
      </c>
      <c r="H15" s="38"/>
      <c r="I15" s="33">
        <f>+$C15/$C$17*H15</f>
        <v>0</v>
      </c>
      <c r="J15" s="91">
        <f t="shared" si="2"/>
        <v>0</v>
      </c>
      <c r="K15" s="45">
        <v>0.02</v>
      </c>
      <c r="L15" s="46">
        <f t="shared" si="3"/>
        <v>147524.20199999999</v>
      </c>
      <c r="M15" s="24">
        <f>$U$2*(2-L15/MIN(L$13:L$16))</f>
        <v>72.845011270613369</v>
      </c>
      <c r="N15" s="100">
        <f t="shared" si="4"/>
        <v>82.845011270613369</v>
      </c>
      <c r="O15" s="32">
        <v>1</v>
      </c>
      <c r="P15" s="33">
        <f t="shared" si="0"/>
        <v>0.17599111987108332</v>
      </c>
      <c r="Q15" s="34">
        <f t="shared" si="5"/>
        <v>14.579986309247767</v>
      </c>
    </row>
    <row r="16" spans="1:21" s="3" customFormat="1" ht="35.1" customHeight="1" thickBot="1" x14ac:dyDescent="0.2">
      <c r="A16" s="142"/>
      <c r="B16" s="75" t="s">
        <v>29</v>
      </c>
      <c r="C16" s="81">
        <v>156883.5</v>
      </c>
      <c r="D16" s="84">
        <v>0</v>
      </c>
      <c r="E16" s="83">
        <v>139986.6</v>
      </c>
      <c r="F16" s="22">
        <f>$U$2*(2-E16/MIN(E$13:E$16))</f>
        <v>78.319988572009649</v>
      </c>
      <c r="G16" s="52">
        <f t="shared" si="1"/>
        <v>78.319988572009649</v>
      </c>
      <c r="H16" s="48"/>
      <c r="I16" s="36">
        <f>+$C16/$C$17*H16</f>
        <v>0</v>
      </c>
      <c r="J16" s="92">
        <f t="shared" si="2"/>
        <v>0</v>
      </c>
      <c r="K16" s="42"/>
      <c r="L16" s="47">
        <f t="shared" si="3"/>
        <v>139986.6</v>
      </c>
      <c r="M16" s="22">
        <f>$U$2*(2-L16/MIN(L$13:L$16))</f>
        <v>78.319988572009649</v>
      </c>
      <c r="N16" s="22">
        <f t="shared" si="4"/>
        <v>78.319988572009649</v>
      </c>
      <c r="O16" s="40"/>
      <c r="P16" s="36">
        <f t="shared" si="0"/>
        <v>0</v>
      </c>
      <c r="Q16" s="37">
        <f t="shared" si="5"/>
        <v>0</v>
      </c>
    </row>
    <row r="17" spans="1:17" ht="42.75" customHeight="1" thickBot="1" x14ac:dyDescent="0.25">
      <c r="B17" s="67" t="s">
        <v>13</v>
      </c>
      <c r="C17" s="76">
        <f>C9+C10+C13</f>
        <v>891428.5</v>
      </c>
      <c r="I17" s="49" t="s">
        <v>14</v>
      </c>
      <c r="J17" s="50">
        <f>SUM(J9:J16)</f>
        <v>100</v>
      </c>
      <c r="P17" s="49" t="s">
        <v>14</v>
      </c>
      <c r="Q17" s="50">
        <f>SUM(Q9:Q16)</f>
        <v>89.958271975514123</v>
      </c>
    </row>
    <row r="20" spans="1:17" ht="14.25" x14ac:dyDescent="0.2">
      <c r="A20" s="1" t="s">
        <v>2</v>
      </c>
    </row>
    <row r="21" spans="1:17" ht="14.25" x14ac:dyDescent="0.2">
      <c r="A21" s="1" t="s">
        <v>30</v>
      </c>
    </row>
    <row r="23" spans="1:17" ht="56.25" customHeight="1" x14ac:dyDescent="0.2">
      <c r="A23" s="147"/>
      <c r="B23" s="147"/>
      <c r="C23" s="147"/>
      <c r="D23" s="147"/>
      <c r="E23" s="147"/>
      <c r="F23" s="147"/>
      <c r="G23" s="147"/>
    </row>
  </sheetData>
  <mergeCells count="8">
    <mergeCell ref="A23:G23"/>
    <mergeCell ref="E7:J7"/>
    <mergeCell ref="K7:Q7"/>
    <mergeCell ref="A3:Q3"/>
    <mergeCell ref="A4:Q4"/>
    <mergeCell ref="A5:Q5"/>
    <mergeCell ref="A10:A12"/>
    <mergeCell ref="A13:A1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2023-06-14T10:04:33Z</dcterms:modified>
</cp:coreProperties>
</file>