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COMITÉ\3.- INFORME TECNICO\S-04425-2023 EQUIP.NUEVO SISTEMA CONTRIBUCIÓN no publicar\INFORMES\"/>
    </mc:Choice>
  </mc:AlternateContent>
  <xr:revisionPtr revIDLastSave="0" documentId="13_ncr:1_{A18B5E44-1663-4A54-BC2F-E7EEECE989A4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ADJUDICADA'!$A$1:$L$20</definedName>
    <definedName name="_xlnm.Print_Area" localSheetId="1">valoración!$A$2:$X$20</definedName>
  </definedNames>
  <calcPr calcId="191029"/>
</workbook>
</file>

<file path=xl/calcChain.xml><?xml version="1.0" encoding="utf-8"?>
<calcChain xmlns="http://schemas.openxmlformats.org/spreadsheetml/2006/main">
  <c r="L15" i="6" l="1"/>
  <c r="L14" i="6"/>
  <c r="L13" i="6"/>
  <c r="L12" i="6"/>
  <c r="L11" i="6"/>
  <c r="L10" i="6"/>
  <c r="L9" i="6"/>
  <c r="A4" i="6" l="1"/>
  <c r="A3" i="6"/>
  <c r="A2" i="6"/>
  <c r="C16" i="6" l="1"/>
  <c r="C16" i="5"/>
  <c r="I15" i="5" s="1"/>
  <c r="L15" i="5"/>
  <c r="F15" i="5"/>
  <c r="G15" i="5" s="1"/>
  <c r="L14" i="5"/>
  <c r="F14" i="5"/>
  <c r="G14" i="5" s="1"/>
  <c r="L13" i="5"/>
  <c r="F13" i="5"/>
  <c r="G13" i="5" s="1"/>
  <c r="L12" i="5"/>
  <c r="F12" i="5"/>
  <c r="G12" i="5" s="1"/>
  <c r="L11" i="5"/>
  <c r="F11" i="5"/>
  <c r="G11" i="5" s="1"/>
  <c r="L10" i="5"/>
  <c r="F10" i="5"/>
  <c r="G10" i="5" s="1"/>
  <c r="L9" i="5"/>
  <c r="F9" i="5"/>
  <c r="G9" i="5" s="1"/>
  <c r="M13" i="5" l="1"/>
  <c r="N13" i="5" s="1"/>
  <c r="M12" i="5"/>
  <c r="N12" i="5" s="1"/>
  <c r="M11" i="5"/>
  <c r="N11" i="5" s="1"/>
  <c r="J15" i="5"/>
  <c r="I10" i="5"/>
  <c r="J10" i="5" s="1"/>
  <c r="I13" i="5"/>
  <c r="J13" i="5" s="1"/>
  <c r="I12" i="5"/>
  <c r="J12" i="5" s="1"/>
  <c r="I9" i="5"/>
  <c r="J9" i="5" s="1"/>
  <c r="P9" i="5"/>
  <c r="P12" i="5"/>
  <c r="I11" i="5"/>
  <c r="J11" i="5" s="1"/>
  <c r="P13" i="5"/>
  <c r="I14" i="5"/>
  <c r="J14" i="5" s="1"/>
  <c r="M15" i="5"/>
  <c r="N15" i="5" s="1"/>
  <c r="M10" i="5"/>
  <c r="N10" i="5" s="1"/>
  <c r="M14" i="5"/>
  <c r="N14" i="5" s="1"/>
  <c r="P11" i="5"/>
  <c r="P15" i="5"/>
  <c r="P10" i="5"/>
  <c r="P14" i="5"/>
  <c r="M9" i="5"/>
  <c r="N9" i="5" s="1"/>
  <c r="Q13" i="5" l="1"/>
  <c r="Q10" i="5"/>
  <c r="Q14" i="5"/>
  <c r="Q15" i="5"/>
  <c r="Q12" i="5"/>
  <c r="Q11" i="5"/>
  <c r="Q9" i="5"/>
  <c r="J16" i="5"/>
  <c r="Q16" i="5" l="1"/>
</calcChain>
</file>

<file path=xl/sharedStrings.xml><?xml version="1.0" encoding="utf-8"?>
<sst xmlns="http://schemas.openxmlformats.org/spreadsheetml/2006/main" count="67" uniqueCount="40">
  <si>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</si>
  <si>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</si>
  <si>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</si>
  <si>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</si>
  <si>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</si>
  <si>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</si>
  <si>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</si>
  <si>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</si>
  <si>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</si>
  <si>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</si>
  <si>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</si>
  <si>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</si>
  <si>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</si>
  <si>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</si>
  <si>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</si>
  <si>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</si>
  <si>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</si>
  <si>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</si>
  <si>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</si>
  <si>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</si>
  <si>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MONITORIZACIÓN Y MEDIDAS, S.L.</t>
  </si>
  <si>
    <t>ATOS HOLDING IBERIA, S.L.</t>
  </si>
  <si>
    <t>PAPYRO SERVICIOS Y PROYECTOS, S.L.</t>
  </si>
  <si>
    <t>LOTE 1: MATRIZ DISTRIBUIDA</t>
  </si>
  <si>
    <t>LOTE 2: ELECTRÓNICA DE RED</t>
  </si>
  <si>
    <t>LOTE 3: INSTALACIÓN</t>
  </si>
  <si>
    <t>ACUNTIA, SAU (AXIANS)</t>
  </si>
  <si>
    <t>NTL LANBASE, S.L.U</t>
  </si>
  <si>
    <t>SIET PROYECTOS, S.L.</t>
  </si>
  <si>
    <t>Importe Oferta</t>
  </si>
  <si>
    <t>Alternativa 2: oferta conjunta "MOME" por los lotes 1 y 3</t>
  </si>
  <si>
    <r>
      <t>Importe Oferta</t>
    </r>
    <r>
      <rPr>
        <b/>
        <i/>
        <sz val="12"/>
        <rFont val="Tahoma"/>
        <family val="2"/>
      </rPr>
      <t xml:space="preserve"> </t>
    </r>
  </si>
  <si>
    <t>PROPUESTA DE ADJUDICACIÓN DEL EXPEDIENTE S-04425-2023</t>
  </si>
  <si>
    <t>"Equipamiento para la evolución del Sistema de Contribución"</t>
  </si>
  <si>
    <t xml:space="preserve">Valor estimado            </t>
  </si>
  <si>
    <t>LOTE 2:              ELECTRÓNICA DE RED</t>
  </si>
  <si>
    <t>LOTE 3:           INSTALACIÓN</t>
  </si>
  <si>
    <t xml:space="preserve">Importe Oferta </t>
  </si>
  <si>
    <t xml:space="preserve">Valor estimado           </t>
  </si>
  <si>
    <t>Madrid, a 5 de octubre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</si>
</sst>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%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27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right" vertical="center" wrapText="1"/>
    </xf>
    <xf numFmtId="166" fontId="17" fillId="0" borderId="19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16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2" xfId="0" applyNumberFormat="1" applyFont="1" applyFill="1" applyBorder="1" applyAlignment="1">
      <alignment horizontal="left" vertical="top" wrapText="1"/>
    </xf>
    <xf numFmtId="164" fontId="5" fillId="0" borderId="23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6" fillId="5" borderId="11" xfId="0" applyNumberFormat="1" applyFont="1" applyFill="1" applyBorder="1" applyAlignment="1">
      <alignment horizontal="center" vertical="center" wrapText="1"/>
    </xf>
    <xf numFmtId="166" fontId="6" fillId="5" borderId="12" xfId="0" applyNumberFormat="1" applyFont="1" applyFill="1" applyBorder="1" applyAlignment="1">
      <alignment horizontal="center" vertical="center"/>
    </xf>
    <xf numFmtId="4" fontId="6" fillId="5" borderId="13" xfId="0" applyNumberFormat="1" applyFont="1" applyFill="1" applyBorder="1" applyAlignment="1">
      <alignment horizontal="center" vertical="center"/>
    </xf>
    <xf numFmtId="9" fontId="5" fillId="5" borderId="11" xfId="3" applyFont="1" applyFill="1" applyBorder="1" applyAlignment="1">
      <alignment horizontal="center" vertical="center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65" fontId="5" fillId="5" borderId="12" xfId="2" applyNumberFormat="1" applyFont="1" applyFill="1" applyBorder="1" applyAlignment="1">
      <alignment horizontal="center" vertical="center"/>
    </xf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0" fontId="6" fillId="5" borderId="7" xfId="0" applyNumberFormat="1" applyFont="1" applyFill="1" applyBorder="1" applyAlignment="1">
      <alignment horizontal="center" vertical="center" wrapText="1"/>
    </xf>
    <xf numFmtId="166" fontId="6" fillId="5" borderId="2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9" fontId="5" fillId="5" borderId="7" xfId="3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0" fontId="1" fillId="5" borderId="2" xfId="0" applyFont="1" applyFill="1" applyBorder="1"/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0" fontId="1" fillId="5" borderId="12" xfId="0" applyFont="1" applyFill="1" applyBorder="1"/>
    <xf numFmtId="0" fontId="6" fillId="5" borderId="15" xfId="0" applyNumberFormat="1" applyFont="1" applyFill="1" applyBorder="1" applyAlignment="1">
      <alignment horizontal="center" vertical="center" wrapText="1"/>
    </xf>
    <xf numFmtId="166" fontId="6" fillId="5" borderId="16" xfId="0" applyNumberFormat="1" applyFont="1" applyFill="1" applyBorder="1" applyAlignment="1">
      <alignment horizontal="center" vertical="center"/>
    </xf>
    <xf numFmtId="4" fontId="6" fillId="5" borderId="17" xfId="0" applyNumberFormat="1" applyFont="1" applyFill="1" applyBorder="1" applyAlignment="1">
      <alignment horizontal="center" vertical="center"/>
    </xf>
    <xf numFmtId="9" fontId="5" fillId="5" borderId="15" xfId="3" applyFont="1" applyFill="1" applyBorder="1" applyAlignment="1">
      <alignment horizontal="center" vertical="center"/>
    </xf>
    <xf numFmtId="166" fontId="6" fillId="5" borderId="16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165" fontId="5" fillId="5" borderId="16" xfId="2" applyNumberFormat="1" applyFont="1" applyFill="1" applyBorder="1" applyAlignment="1">
      <alignment horizontal="center" vertical="center"/>
    </xf>
    <xf numFmtId="10" fontId="5" fillId="5" borderId="16" xfId="0" applyNumberFormat="1" applyFont="1" applyFill="1" applyBorder="1" applyAlignment="1">
      <alignment horizontal="center" vertical="center"/>
    </xf>
    <xf numFmtId="164" fontId="5" fillId="5" borderId="17" xfId="2" applyFont="1" applyFill="1" applyBorder="1" applyAlignment="1">
      <alignment horizontal="center" vertical="center"/>
    </xf>
    <xf numFmtId="0" fontId="1" fillId="5" borderId="16" xfId="0" applyFont="1" applyFill="1" applyBorder="1"/>
    <xf numFmtId="4" fontId="6" fillId="5" borderId="26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9" fillId="5" borderId="19" xfId="0" applyNumberFormat="1" applyFont="1" applyFill="1" applyBorder="1" applyAlignment="1">
      <alignment horizontal="right" vertical="center" wrapText="1"/>
    </xf>
    <xf numFmtId="166" fontId="17" fillId="5" borderId="19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16" fillId="5" borderId="22" xfId="0" applyNumberFormat="1" applyFont="1" applyFill="1" applyBorder="1" applyAlignment="1">
      <alignment horizontal="right" vertical="top" wrapText="1"/>
    </xf>
    <xf numFmtId="164" fontId="5" fillId="5" borderId="23" xfId="2" applyFont="1" applyFill="1" applyBorder="1" applyAlignment="1">
      <alignment horizontal="center" vertical="center"/>
    </xf>
    <xf numFmtId="0" fontId="5" fillId="5" borderId="6" xfId="0" applyFont="1" applyFill="1" applyBorder="1"/>
    <xf numFmtId="167" fontId="5" fillId="0" borderId="11" xfId="3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right" vertical="center" indent="1"/>
    </xf>
    <xf numFmtId="0" fontId="1" fillId="0" borderId="27" xfId="0" applyFont="1" applyFill="1" applyBorder="1"/>
    <xf numFmtId="0" fontId="1" fillId="0" borderId="18" xfId="0" applyFont="1" applyFill="1" applyBorder="1"/>
    <xf numFmtId="167" fontId="5" fillId="5" borderId="11" xfId="3" applyNumberFormat="1" applyFont="1" applyFill="1" applyBorder="1" applyAlignment="1">
      <alignment horizontal="center" vertical="center"/>
    </xf>
    <xf numFmtId="4" fontId="6" fillId="0" borderId="24" xfId="0" applyNumberFormat="1" applyFont="1" applyFill="1" applyBorder="1" applyAlignment="1">
      <alignment horizontal="center" vertical="center"/>
    </xf>
    <xf numFmtId="4" fontId="6" fillId="0" borderId="25" xfId="0" applyNumberFormat="1" applyFont="1" applyFill="1" applyBorder="1" applyAlignment="1">
      <alignment horizontal="center" vertical="center"/>
    </xf>
    <xf numFmtId="43" fontId="3" fillId="0" borderId="0" xfId="0" applyNumberFormat="1" applyFont="1" applyFill="1" applyBorder="1"/>
    <xf numFmtId="43" fontId="0" fillId="5" borderId="0" xfId="0" applyNumberFormat="1" applyFill="1"/>
    <xf numFmtId="0" fontId="6" fillId="4" borderId="11" xfId="0" applyNumberFormat="1" applyFont="1" applyFill="1" applyBorder="1" applyAlignment="1">
      <alignment horizontal="center" vertical="center" wrapText="1"/>
    </xf>
    <xf numFmtId="0" fontId="6" fillId="4" borderId="15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9" fontId="18" fillId="5" borderId="4" xfId="3" applyFont="1" applyFill="1" applyBorder="1" applyAlignment="1">
      <alignment horizontal="center" vertical="center"/>
    </xf>
    <xf numFmtId="9" fontId="18" fillId="5" borderId="20" xfId="3" applyFont="1" applyFill="1" applyBorder="1" applyAlignment="1">
      <alignment horizontal="center" vertical="center"/>
    </xf>
    <xf numFmtId="9" fontId="18" fillId="5" borderId="21" xfId="3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20" xfId="2" applyNumberFormat="1" applyFont="1" applyFill="1" applyBorder="1" applyAlignment="1">
      <alignment horizontal="center" vertical="center"/>
    </xf>
    <xf numFmtId="165" fontId="18" fillId="0" borderId="21" xfId="2" applyNumberFormat="1" applyFont="1" applyFill="1" applyBorder="1" applyAlignment="1">
      <alignment horizontal="center" vertical="center"/>
    </xf>
    <xf numFmtId="9" fontId="18" fillId="0" borderId="4" xfId="3" applyFont="1" applyFill="1" applyBorder="1" applyAlignment="1">
      <alignment horizontal="center" vertical="center"/>
    </xf>
    <xf numFmtId="9" fontId="18" fillId="0" borderId="20" xfId="3" applyFont="1" applyFill="1" applyBorder="1" applyAlignment="1">
      <alignment horizontal="center" vertical="center"/>
    </xf>
    <xf numFmtId="9" fontId="18" fillId="0" borderId="21" xfId="3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topLeftCell="A7" workbookViewId="0">
      <selection activeCell="A20" sqref="A20"/>
    </sheetView>
  </sheetViews>
  <sheetFormatPr baseColWidth="10" defaultRowHeight="12.75" x14ac:dyDescent="0.2"/>
  <cols>
    <col min="1" max="1" width="32.85546875" customWidth="1"/>
    <col min="2" max="2" width="30.85546875" customWidth="1"/>
    <col min="3" max="3" width="29.5703125" customWidth="1"/>
    <col min="4" max="4" width="21.140625" customWidth="1"/>
    <col min="5" max="5" width="16.7109375" customWidth="1"/>
    <col min="6" max="6" width="18.85546875" bestFit="1" customWidth="1"/>
    <col min="7" max="11" width="16.7109375" customWidth="1"/>
    <col min="12" max="12" width="16.140625" customWidth="1"/>
  </cols>
  <sheetData>
    <row r="1" spans="1:12" ht="48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18" x14ac:dyDescent="0.25">
      <c r="A2" s="118" t="str">
        <f>valoración!A3</f>
        <v>PROPUESTA DE ADJUDICACIÓN DEL EXPEDIENTE S-04425-2023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62"/>
    </row>
    <row r="3" spans="1:12" ht="18" x14ac:dyDescent="0.25">
      <c r="A3" s="118" t="str">
        <f>valoración!A4</f>
        <v>"Equipamiento para la evolución del Sistema de Contribución"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62"/>
    </row>
    <row r="4" spans="1:12" ht="18" x14ac:dyDescent="0.25">
      <c r="A4" s="118" t="str">
        <f>valoración!A5</f>
        <v>RESUMEN PUNTUACIÓN TÉCNICA Y ECONÓMICA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62"/>
    </row>
    <row r="5" spans="1:12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6" spans="1:12" ht="13.5" thickBot="1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</row>
    <row r="7" spans="1:12" ht="30.75" customHeight="1" thickBot="1" x14ac:dyDescent="0.25">
      <c r="A7" s="62"/>
      <c r="B7" s="62"/>
      <c r="C7" s="62"/>
      <c r="D7" s="62"/>
      <c r="E7" s="115" t="s">
        <v>30</v>
      </c>
      <c r="F7" s="116"/>
      <c r="G7" s="116"/>
      <c r="H7" s="116"/>
      <c r="I7" s="116"/>
      <c r="J7" s="116"/>
      <c r="K7" s="117"/>
      <c r="L7" s="62"/>
    </row>
    <row r="8" spans="1:12" ht="30.75" thickBot="1" x14ac:dyDescent="0.25">
      <c r="A8" s="15" t="s">
        <v>4</v>
      </c>
      <c r="B8" s="16" t="s">
        <v>5</v>
      </c>
      <c r="C8" s="17" t="s">
        <v>38</v>
      </c>
      <c r="D8" s="18" t="s">
        <v>0</v>
      </c>
      <c r="E8" s="16" t="s">
        <v>15</v>
      </c>
      <c r="F8" s="16" t="s">
        <v>37</v>
      </c>
      <c r="G8" s="17" t="s">
        <v>1</v>
      </c>
      <c r="H8" s="17" t="s">
        <v>16</v>
      </c>
      <c r="I8" s="17" t="s">
        <v>9</v>
      </c>
      <c r="J8" s="17" t="s">
        <v>10</v>
      </c>
      <c r="K8" s="18" t="s">
        <v>11</v>
      </c>
      <c r="L8" s="17" t="s">
        <v>19</v>
      </c>
    </row>
    <row r="9" spans="1:12" ht="35.1" customHeight="1" thickBot="1" x14ac:dyDescent="0.25">
      <c r="A9" s="19" t="s">
        <v>23</v>
      </c>
      <c r="B9" s="109" t="s">
        <v>20</v>
      </c>
      <c r="C9" s="64">
        <v>2884817.5</v>
      </c>
      <c r="D9" s="65">
        <v>0</v>
      </c>
      <c r="E9" s="66">
        <v>0</v>
      </c>
      <c r="F9" s="50">
        <v>2884791</v>
      </c>
      <c r="G9" s="23">
        <v>90</v>
      </c>
      <c r="H9" s="23">
        <v>90</v>
      </c>
      <c r="I9" s="69">
        <v>1</v>
      </c>
      <c r="J9" s="70">
        <v>0.8314439723343654</v>
      </c>
      <c r="K9" s="71">
        <v>74.829957510092882</v>
      </c>
      <c r="L9" s="105">
        <f>100-($F9*100/$C9)</f>
        <v>9.1860230325835346E-4</v>
      </c>
    </row>
    <row r="10" spans="1:12" ht="35.1" customHeight="1" x14ac:dyDescent="0.2">
      <c r="A10" s="112" t="s">
        <v>35</v>
      </c>
      <c r="B10" s="63" t="s">
        <v>21</v>
      </c>
      <c r="C10" s="64">
        <v>145000</v>
      </c>
      <c r="D10" s="65">
        <v>10</v>
      </c>
      <c r="E10" s="66"/>
      <c r="F10" s="67">
        <v>117608.67</v>
      </c>
      <c r="G10" s="68">
        <v>74.36445050959108</v>
      </c>
      <c r="H10" s="68">
        <v>84.36445050959108</v>
      </c>
      <c r="I10" s="81"/>
      <c r="J10" s="70"/>
      <c r="K10" s="71">
        <v>0</v>
      </c>
      <c r="L10" s="106">
        <f t="shared" ref="L10:L15" si="0">100-($F10*100/$C10)</f>
        <v>18.890572413793109</v>
      </c>
    </row>
    <row r="11" spans="1:12" ht="35.1" customHeight="1" x14ac:dyDescent="0.2">
      <c r="A11" s="113"/>
      <c r="B11" s="72" t="s">
        <v>26</v>
      </c>
      <c r="C11" s="73">
        <v>145000</v>
      </c>
      <c r="D11" s="74">
        <v>10</v>
      </c>
      <c r="E11" s="75"/>
      <c r="F11" s="76">
        <v>110039.93</v>
      </c>
      <c r="G11" s="77">
        <v>81.162656873543995</v>
      </c>
      <c r="H11" s="77">
        <v>91.162656873543995</v>
      </c>
      <c r="I11" s="78"/>
      <c r="J11" s="79"/>
      <c r="K11" s="80">
        <v>0</v>
      </c>
      <c r="L11" s="106">
        <f t="shared" si="0"/>
        <v>24.110393103448274</v>
      </c>
    </row>
    <row r="12" spans="1:12" ht="35.1" customHeight="1" thickBot="1" x14ac:dyDescent="0.25">
      <c r="A12" s="114"/>
      <c r="B12" s="110" t="s">
        <v>27</v>
      </c>
      <c r="C12" s="83">
        <v>145000</v>
      </c>
      <c r="D12" s="84">
        <v>10</v>
      </c>
      <c r="E12" s="85"/>
      <c r="F12" s="53">
        <v>100200.93</v>
      </c>
      <c r="G12" s="27">
        <v>90</v>
      </c>
      <c r="H12" s="27">
        <v>100</v>
      </c>
      <c r="I12" s="88">
        <v>1</v>
      </c>
      <c r="J12" s="89">
        <v>4.1790988854055057E-2</v>
      </c>
      <c r="K12" s="90">
        <v>4.179098885405506</v>
      </c>
      <c r="L12" s="106">
        <f t="shared" si="0"/>
        <v>30.895910344827584</v>
      </c>
    </row>
    <row r="13" spans="1:12" ht="35.1" customHeight="1" x14ac:dyDescent="0.2">
      <c r="A13" s="112" t="s">
        <v>36</v>
      </c>
      <c r="B13" s="109" t="s">
        <v>20</v>
      </c>
      <c r="C13" s="64">
        <v>439830</v>
      </c>
      <c r="D13" s="65">
        <v>10</v>
      </c>
      <c r="E13" s="104">
        <v>5.3999999999999999E-2</v>
      </c>
      <c r="F13" s="67">
        <v>351171.28200000001</v>
      </c>
      <c r="G13" s="68">
        <v>90</v>
      </c>
      <c r="H13" s="68">
        <v>100</v>
      </c>
      <c r="I13" s="69">
        <v>1</v>
      </c>
      <c r="J13" s="70">
        <v>0.12676503881157955</v>
      </c>
      <c r="K13" s="71">
        <v>12.676503881157956</v>
      </c>
      <c r="L13" s="106">
        <f t="shared" si="0"/>
        <v>20.157496760111854</v>
      </c>
    </row>
    <row r="14" spans="1:12" ht="35.1" customHeight="1" x14ac:dyDescent="0.2">
      <c r="A14" s="113"/>
      <c r="B14" s="72" t="s">
        <v>22</v>
      </c>
      <c r="C14" s="73">
        <v>439830</v>
      </c>
      <c r="D14" s="74">
        <v>10</v>
      </c>
      <c r="E14" s="75"/>
      <c r="F14" s="52">
        <v>361043.75</v>
      </c>
      <c r="G14" s="31">
        <v>87.46983262714518</v>
      </c>
      <c r="H14" s="31">
        <v>97.46983262714518</v>
      </c>
      <c r="I14" s="37"/>
      <c r="J14" s="79"/>
      <c r="K14" s="80">
        <v>0</v>
      </c>
      <c r="L14" s="106">
        <f t="shared" si="0"/>
        <v>17.912886797171637</v>
      </c>
    </row>
    <row r="15" spans="1:12" ht="35.1" customHeight="1" thickBot="1" x14ac:dyDescent="0.25">
      <c r="A15" s="114"/>
      <c r="B15" s="82" t="s">
        <v>28</v>
      </c>
      <c r="C15" s="83">
        <v>439830</v>
      </c>
      <c r="D15" s="84">
        <v>10</v>
      </c>
      <c r="E15" s="85"/>
      <c r="F15" s="86">
        <v>373000</v>
      </c>
      <c r="G15" s="87">
        <v>84.405622780965331</v>
      </c>
      <c r="H15" s="87">
        <v>94.405622780965331</v>
      </c>
      <c r="I15" s="91"/>
      <c r="J15" s="89"/>
      <c r="K15" s="90">
        <v>0</v>
      </c>
      <c r="L15" s="92">
        <f t="shared" si="0"/>
        <v>15.194506968601502</v>
      </c>
    </row>
    <row r="16" spans="1:12" ht="41.25" thickBot="1" x14ac:dyDescent="0.25">
      <c r="A16" s="93"/>
      <c r="B16" s="94" t="s">
        <v>12</v>
      </c>
      <c r="C16" s="95">
        <f>C9+C10+C13</f>
        <v>3469647.5</v>
      </c>
      <c r="D16" s="96"/>
      <c r="E16" s="96"/>
      <c r="F16" s="96"/>
      <c r="G16" s="96"/>
      <c r="H16" s="96"/>
      <c r="I16" s="96"/>
      <c r="J16" s="97" t="s">
        <v>18</v>
      </c>
      <c r="K16" s="98">
        <v>91.685560276656346</v>
      </c>
      <c r="L16" s="108"/>
    </row>
    <row r="17" spans="1:12" x14ac:dyDescent="0.2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</row>
    <row r="18" spans="1:12" x14ac:dyDescent="0.2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</row>
    <row r="19" spans="1:12" ht="14.25" x14ac:dyDescent="0.2">
      <c r="A19" s="99" t="s">
        <v>2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</row>
    <row r="20" spans="1:12" ht="14.25" x14ac:dyDescent="0.2">
      <c r="A20" s="99" t="s">
        <v>39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</row>
    <row r="21" spans="1:12" x14ac:dyDescent="0.2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</row>
    <row r="23" spans="1:12" x14ac:dyDescent="0.2">
      <c r="F23" s="111"/>
    </row>
  </sheetData>
  <mergeCells count="6">
    <mergeCell ref="A13:A15"/>
    <mergeCell ref="E7:K7"/>
    <mergeCell ref="A2:K2"/>
    <mergeCell ref="A3:K3"/>
    <mergeCell ref="A4:K4"/>
    <mergeCell ref="A10:A1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2"/>
  <sheetViews>
    <sheetView showGridLines="0" showZeros="0" topLeftCell="A7" zoomScaleNormal="100" workbookViewId="0">
      <selection activeCell="A20" sqref="A20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5" width="18.85546875" style="10" customWidth="1"/>
    <col min="6" max="11" width="16.7109375" style="10" customWidth="1"/>
    <col min="12" max="12" width="18.85546875" style="10" bestFit="1" customWidth="1"/>
    <col min="13" max="24" width="16.7109375" style="10" customWidth="1"/>
    <col min="25" max="16384" width="11.42578125" style="10"/>
  </cols>
  <sheetData>
    <row r="1" spans="1:28" x14ac:dyDescent="0.2">
      <c r="AA1" s="12" t="s">
        <v>6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17</v>
      </c>
      <c r="AB2" s="14">
        <v>90</v>
      </c>
    </row>
    <row r="3" spans="1:28" s="3" customFormat="1" ht="22.5" customHeight="1" x14ac:dyDescent="0.15">
      <c r="A3" s="126" t="s">
        <v>32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AA3" s="33" t="s">
        <v>8</v>
      </c>
    </row>
    <row r="4" spans="1:28" s="3" customFormat="1" ht="22.5" customHeight="1" x14ac:dyDescent="0.15">
      <c r="A4" s="126" t="s">
        <v>33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</row>
    <row r="5" spans="1:28" s="3" customFormat="1" ht="24.6" customHeight="1" x14ac:dyDescent="0.15">
      <c r="A5" s="126" t="s">
        <v>3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</row>
    <row r="6" spans="1:28" s="3" customFormat="1" ht="24.6" customHeight="1" thickBot="1" x14ac:dyDescent="0.2">
      <c r="A6" s="32"/>
      <c r="B6" s="32"/>
      <c r="C6" s="32"/>
      <c r="D6" s="32"/>
      <c r="E6" s="32"/>
      <c r="F6" s="32"/>
      <c r="G6" s="32"/>
      <c r="H6" s="4"/>
    </row>
    <row r="7" spans="1:28" s="3" customFormat="1" ht="24.75" customHeight="1" thickBot="1" x14ac:dyDescent="0.3">
      <c r="A7" s="2"/>
      <c r="B7" s="6"/>
      <c r="C7" s="7"/>
      <c r="D7" s="7"/>
      <c r="E7" s="120" t="s">
        <v>14</v>
      </c>
      <c r="F7" s="121"/>
      <c r="G7" s="121"/>
      <c r="H7" s="121"/>
      <c r="I7" s="121"/>
      <c r="J7" s="122"/>
      <c r="K7" s="123" t="s">
        <v>30</v>
      </c>
      <c r="L7" s="124"/>
      <c r="M7" s="124"/>
      <c r="N7" s="124"/>
      <c r="O7" s="124"/>
      <c r="P7" s="124"/>
      <c r="Q7" s="125"/>
    </row>
    <row r="8" spans="1:28" s="8" customFormat="1" ht="30.75" thickBot="1" x14ac:dyDescent="0.25">
      <c r="A8" s="15" t="s">
        <v>4</v>
      </c>
      <c r="B8" s="16" t="s">
        <v>5</v>
      </c>
      <c r="C8" s="17" t="s">
        <v>34</v>
      </c>
      <c r="D8" s="18" t="s">
        <v>0</v>
      </c>
      <c r="E8" s="16" t="s">
        <v>29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31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8" s="3" customFormat="1" ht="35.1" customHeight="1" thickBot="1" x14ac:dyDescent="0.2">
      <c r="A9" s="19" t="s">
        <v>23</v>
      </c>
      <c r="B9" s="59" t="s">
        <v>20</v>
      </c>
      <c r="C9" s="20">
        <v>2884817.5</v>
      </c>
      <c r="D9" s="21">
        <v>0</v>
      </c>
      <c r="E9" s="22">
        <v>2884791</v>
      </c>
      <c r="F9" s="23">
        <f>$AB$2*(2-E9/MIN(E$9:E$9))</f>
        <v>90</v>
      </c>
      <c r="G9" s="23">
        <f>D9+F9</f>
        <v>90</v>
      </c>
      <c r="H9" s="45">
        <v>1</v>
      </c>
      <c r="I9" s="35">
        <f t="shared" ref="I9:I15" si="0">+$C9/$C$16*H9</f>
        <v>0.8314439723343654</v>
      </c>
      <c r="J9" s="36">
        <f t="shared" ref="J9:J15" si="1">+G9*I9</f>
        <v>74.829957510092882</v>
      </c>
      <c r="K9" s="49">
        <v>0</v>
      </c>
      <c r="L9" s="67">
        <f>+$E9*(1-K9)</f>
        <v>2884791</v>
      </c>
      <c r="M9" s="68">
        <f>$AB$2*(2-L9/MIN(L$9:L$9))</f>
        <v>90</v>
      </c>
      <c r="N9" s="68">
        <f>$D9+M9</f>
        <v>90</v>
      </c>
      <c r="O9" s="34">
        <v>1</v>
      </c>
      <c r="P9" s="35">
        <f t="shared" ref="P9:P15" si="2">+$C9/$C$16*O9</f>
        <v>0.8314439723343654</v>
      </c>
      <c r="Q9" s="36">
        <f>+N9*P9</f>
        <v>74.829957510092882</v>
      </c>
    </row>
    <row r="10" spans="1:28" s="3" customFormat="1" ht="35.1" customHeight="1" x14ac:dyDescent="0.15">
      <c r="A10" s="112" t="s">
        <v>24</v>
      </c>
      <c r="B10" s="59" t="s">
        <v>21</v>
      </c>
      <c r="C10" s="20">
        <v>145000</v>
      </c>
      <c r="D10" s="21">
        <v>10</v>
      </c>
      <c r="E10" s="22">
        <v>117608.67</v>
      </c>
      <c r="F10" s="23">
        <f>$AB$2*(2-E10/MIN(E$10:E$12))</f>
        <v>74.36445050959108</v>
      </c>
      <c r="G10" s="23">
        <f t="shared" ref="G10:G15" si="3">D10+F10</f>
        <v>84.36445050959108</v>
      </c>
      <c r="H10" s="45"/>
      <c r="I10" s="35">
        <f t="shared" si="0"/>
        <v>0</v>
      </c>
      <c r="J10" s="36">
        <f t="shared" si="1"/>
        <v>0</v>
      </c>
      <c r="K10" s="49"/>
      <c r="L10" s="50">
        <f t="shared" ref="L10:L15" si="4">+$E10*(1-K10)</f>
        <v>117608.67</v>
      </c>
      <c r="M10" s="23">
        <f>$AB$2*(2-L10/MIN(L$10:L$12))</f>
        <v>74.36445050959108</v>
      </c>
      <c r="N10" s="23">
        <f t="shared" ref="N10:N15" si="5">$D10+M10</f>
        <v>84.36445050959108</v>
      </c>
      <c r="O10" s="102"/>
      <c r="P10" s="35">
        <f t="shared" si="2"/>
        <v>0</v>
      </c>
      <c r="Q10" s="36">
        <f t="shared" ref="Q10:Q15" si="6">+N10*P10</f>
        <v>0</v>
      </c>
    </row>
    <row r="11" spans="1:28" s="3" customFormat="1" ht="35.1" customHeight="1" x14ac:dyDescent="0.15">
      <c r="A11" s="113"/>
      <c r="B11" s="60" t="s">
        <v>26</v>
      </c>
      <c r="C11" s="28">
        <v>145000</v>
      </c>
      <c r="D11" s="29">
        <v>10</v>
      </c>
      <c r="E11" s="30">
        <v>110039.93</v>
      </c>
      <c r="F11" s="31">
        <f>$AB$2*(2-E11/MIN(E$10:E$12))</f>
        <v>81.162656873543995</v>
      </c>
      <c r="G11" s="31">
        <f t="shared" si="3"/>
        <v>91.162656873543995</v>
      </c>
      <c r="H11" s="46"/>
      <c r="I11" s="38">
        <f t="shared" si="0"/>
        <v>0</v>
      </c>
      <c r="J11" s="39">
        <f t="shared" si="1"/>
        <v>0</v>
      </c>
      <c r="K11" s="51"/>
      <c r="L11" s="52">
        <f t="shared" si="4"/>
        <v>110039.93</v>
      </c>
      <c r="M11" s="31">
        <f>$AB$2*(2-L11/MIN(L$10:L$12))</f>
        <v>81.162656873543995</v>
      </c>
      <c r="N11" s="31">
        <f t="shared" si="5"/>
        <v>91.162656873543995</v>
      </c>
      <c r="O11" s="103"/>
      <c r="P11" s="38">
        <f t="shared" si="2"/>
        <v>0</v>
      </c>
      <c r="Q11" s="39">
        <f t="shared" si="6"/>
        <v>0</v>
      </c>
    </row>
    <row r="12" spans="1:28" s="3" customFormat="1" ht="35.1" customHeight="1" thickBot="1" x14ac:dyDescent="0.2">
      <c r="A12" s="114"/>
      <c r="B12" s="61" t="s">
        <v>27</v>
      </c>
      <c r="C12" s="24">
        <v>145000</v>
      </c>
      <c r="D12" s="25">
        <v>10</v>
      </c>
      <c r="E12" s="26">
        <v>100200.93</v>
      </c>
      <c r="F12" s="27">
        <f>$AB$2*(2-E12/MIN(E$10:E$12))</f>
        <v>90</v>
      </c>
      <c r="G12" s="27">
        <f t="shared" si="3"/>
        <v>100</v>
      </c>
      <c r="H12" s="54">
        <v>1</v>
      </c>
      <c r="I12" s="41">
        <f t="shared" si="0"/>
        <v>4.1790988854055057E-2</v>
      </c>
      <c r="J12" s="42">
        <f t="shared" si="1"/>
        <v>4.179098885405506</v>
      </c>
      <c r="K12" s="48"/>
      <c r="L12" s="86">
        <f t="shared" si="4"/>
        <v>100200.93</v>
      </c>
      <c r="M12" s="87">
        <f>$AB$2*(2-L12/MIN(L$10:L$12))</f>
        <v>90</v>
      </c>
      <c r="N12" s="87">
        <f t="shared" si="5"/>
        <v>100</v>
      </c>
      <c r="O12" s="40">
        <v>1</v>
      </c>
      <c r="P12" s="41">
        <f t="shared" si="2"/>
        <v>4.1790988854055057E-2</v>
      </c>
      <c r="Q12" s="42">
        <f t="shared" si="6"/>
        <v>4.179098885405506</v>
      </c>
    </row>
    <row r="13" spans="1:28" s="3" customFormat="1" ht="35.1" customHeight="1" thickBot="1" x14ac:dyDescent="0.2">
      <c r="A13" s="112" t="s">
        <v>25</v>
      </c>
      <c r="B13" s="59" t="s">
        <v>20</v>
      </c>
      <c r="C13" s="20">
        <v>439830</v>
      </c>
      <c r="D13" s="21">
        <v>10</v>
      </c>
      <c r="E13" s="22">
        <v>371217</v>
      </c>
      <c r="F13" s="23">
        <f>$AB$2*(2-E13/MIN(E$13:E$15))</f>
        <v>87.464040022850412</v>
      </c>
      <c r="G13" s="57">
        <f t="shared" si="3"/>
        <v>97.464040022850412</v>
      </c>
      <c r="H13" s="45"/>
      <c r="I13" s="35">
        <f t="shared" si="0"/>
        <v>0</v>
      </c>
      <c r="J13" s="36">
        <f t="shared" si="1"/>
        <v>0</v>
      </c>
      <c r="K13" s="100">
        <v>5.3999999999999999E-2</v>
      </c>
      <c r="L13" s="50">
        <f t="shared" si="4"/>
        <v>351171.28200000001</v>
      </c>
      <c r="M13" s="23">
        <f>$AB$2*(2-L13/MIN(L$13:L$15))</f>
        <v>90</v>
      </c>
      <c r="N13" s="23">
        <f t="shared" si="5"/>
        <v>100</v>
      </c>
      <c r="O13" s="34">
        <v>1</v>
      </c>
      <c r="P13" s="35">
        <f t="shared" si="2"/>
        <v>0.12676503881157955</v>
      </c>
      <c r="Q13" s="36">
        <f t="shared" si="6"/>
        <v>12.676503881157956</v>
      </c>
    </row>
    <row r="14" spans="1:28" s="3" customFormat="1" ht="35.1" customHeight="1" thickBot="1" x14ac:dyDescent="0.2">
      <c r="A14" s="113"/>
      <c r="B14" s="60" t="s">
        <v>22</v>
      </c>
      <c r="C14" s="20">
        <v>439830</v>
      </c>
      <c r="D14" s="29">
        <v>10</v>
      </c>
      <c r="E14" s="30">
        <v>361043.75</v>
      </c>
      <c r="F14" s="31">
        <f>$AB$2*(2-E14/MIN(E$13:E$15))</f>
        <v>90</v>
      </c>
      <c r="G14" s="101">
        <f t="shared" si="3"/>
        <v>100</v>
      </c>
      <c r="H14" s="46">
        <v>1</v>
      </c>
      <c r="I14" s="38">
        <f t="shared" si="0"/>
        <v>0.12676503881157955</v>
      </c>
      <c r="J14" s="39">
        <f t="shared" si="1"/>
        <v>12.676503881157956</v>
      </c>
      <c r="K14" s="51"/>
      <c r="L14" s="76">
        <f t="shared" si="4"/>
        <v>361043.75</v>
      </c>
      <c r="M14" s="77">
        <f>$AB$2*(2-L14/MIN(L$13:L$15))</f>
        <v>87.46983262714518</v>
      </c>
      <c r="N14" s="77">
        <f t="shared" si="5"/>
        <v>97.46983262714518</v>
      </c>
      <c r="O14" s="37"/>
      <c r="P14" s="38">
        <f t="shared" si="2"/>
        <v>0</v>
      </c>
      <c r="Q14" s="39">
        <f t="shared" si="6"/>
        <v>0</v>
      </c>
    </row>
    <row r="15" spans="1:28" s="3" customFormat="1" ht="35.1" customHeight="1" thickBot="1" x14ac:dyDescent="0.2">
      <c r="A15" s="114"/>
      <c r="B15" s="61" t="s">
        <v>28</v>
      </c>
      <c r="C15" s="20">
        <v>439830</v>
      </c>
      <c r="D15" s="25">
        <v>10</v>
      </c>
      <c r="E15" s="26">
        <v>373000</v>
      </c>
      <c r="F15" s="27">
        <f>$AB$2*(2-E15/MIN(E$13:E$15))</f>
        <v>87.01957865217166</v>
      </c>
      <c r="G15" s="58">
        <f t="shared" si="3"/>
        <v>97.01957865217166</v>
      </c>
      <c r="H15" s="54"/>
      <c r="I15" s="41">
        <f t="shared" si="0"/>
        <v>0</v>
      </c>
      <c r="J15" s="42">
        <f t="shared" si="1"/>
        <v>0</v>
      </c>
      <c r="K15" s="48"/>
      <c r="L15" s="53">
        <f t="shared" si="4"/>
        <v>373000</v>
      </c>
      <c r="M15" s="27">
        <f>$AB$2*(2-L15/MIN(L$13:L$15))</f>
        <v>84.405622780965331</v>
      </c>
      <c r="N15" s="27">
        <f t="shared" si="5"/>
        <v>94.405622780965331</v>
      </c>
      <c r="O15" s="47"/>
      <c r="P15" s="41">
        <f t="shared" si="2"/>
        <v>0</v>
      </c>
      <c r="Q15" s="42">
        <f t="shared" si="6"/>
        <v>0</v>
      </c>
    </row>
    <row r="16" spans="1:28" ht="42.75" customHeight="1" thickBot="1" x14ac:dyDescent="0.25">
      <c r="B16" s="43" t="s">
        <v>12</v>
      </c>
      <c r="C16" s="44">
        <f>C9+C10+C13</f>
        <v>3469647.5</v>
      </c>
      <c r="I16" s="55" t="s">
        <v>13</v>
      </c>
      <c r="J16" s="56">
        <f>SUM(J9:J15)</f>
        <v>91.685560276656346</v>
      </c>
      <c r="P16" s="55" t="s">
        <v>13</v>
      </c>
      <c r="Q16" s="56">
        <f>SUM(Q9:Q15)</f>
        <v>91.685560276656346</v>
      </c>
      <c r="R16" s="107"/>
    </row>
    <row r="19" spans="1:7" ht="14.25" x14ac:dyDescent="0.2">
      <c r="A19" s="1" t="s">
        <v>2</v>
      </c>
    </row>
    <row r="20" spans="1:7" ht="14.25" x14ac:dyDescent="0.2">
      <c r="A20" s="1" t="s">
        <v>39</v>
      </c>
    </row>
    <row r="22" spans="1:7" ht="56.25" customHeight="1" x14ac:dyDescent="0.2">
      <c r="A22" s="119"/>
      <c r="B22" s="119"/>
      <c r="C22" s="119"/>
      <c r="D22" s="119"/>
      <c r="E22" s="119"/>
      <c r="F22" s="119"/>
      <c r="G22" s="119"/>
    </row>
  </sheetData>
  <mergeCells count="8">
    <mergeCell ref="A22:G22"/>
    <mergeCell ref="E7:J7"/>
    <mergeCell ref="K7:Q7"/>
    <mergeCell ref="A3:X3"/>
    <mergeCell ref="A4:X4"/>
    <mergeCell ref="A5:X5"/>
    <mergeCell ref="A10:A12"/>
    <mergeCell ref="A13:A1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Isabel Espejo Badiola</cp:lastModifiedBy>
  <cp:lastPrinted>2021-11-19T11:28:43Z</cp:lastPrinted>
  <dcterms:created xsi:type="dcterms:W3CDTF">2007-03-30T09:59:06Z</dcterms:created>
  <dcterms:modified xsi:type="dcterms:W3CDTF">2023-09-28T10:08:24Z</dcterms:modified>
</cp:coreProperties>
</file>