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3"/>
  <workbookPr defaultThemeVersion="124226"/>
  <mc:AlternateContent xmlns:mc="http://schemas.openxmlformats.org/markup-compatibility/2006">
    <mc:Choice Requires="x15">
      <x15ac:absPath xmlns:x15ac="http://schemas.microsoft.com/office/spreadsheetml/2010/11/ac" url="U:\compras\general\unidad_b\SERVICIO A SEDES\2023\0-EXPEDIENTES COMITÉ\4-Adjudicación\S-02369-2023 - Servicio de limpieza e higienización en los centros de CRTVE (Falta Consejo)\13-Informes\"/>
    </mc:Choice>
  </mc:AlternateContent>
  <xr:revisionPtr revIDLastSave="0" documentId="13_ncr:1_{8628629A-E4E5-4B42-B802-ECC7F37C2DC1}" xr6:coauthVersionLast="36" xr6:coauthVersionMax="36" xr10:uidLastSave="{00000000-0000-0000-0000-000000000000}"/>
  <bookViews>
    <workbookView xWindow="0" yWindow="0" windowWidth="28800" windowHeight="11400" tabRatio="752" xr2:uid="{00000000-000D-0000-FFFF-FFFF00000000}"/>
  </bookViews>
  <sheets>
    <sheet name="ALTERNATIVA ADJUDICADA" sheetId="6" r:id="rId1"/>
    <sheet name="valoración" sheetId="5" r:id="rId2"/>
  </sheets>
  <definedNames>
    <definedName name="_xlnm.Print_Area" localSheetId="0">'ALTERNATIVA ADJUDICADA'!$A$1:$K$52</definedName>
    <definedName name="_xlnm.Print_Area" localSheetId="1">valoración!$A$2:$Q$51</definedName>
  </definedNames>
  <calcPr calcId="191029"/>
</workbook>
</file>

<file path=xl/calcChain.xml><?xml version="1.0" encoding="utf-8"?>
<calcChain xmlns="http://schemas.openxmlformats.org/spreadsheetml/2006/main">
  <c r="M25" i="5" l="1"/>
  <c r="M24" i="5"/>
  <c r="N24" i="5" s="1"/>
  <c r="M19" i="5" l="1"/>
  <c r="F46" i="5"/>
  <c r="F45" i="5"/>
  <c r="M45" i="5"/>
  <c r="N45" i="5" s="1"/>
  <c r="M46" i="5"/>
  <c r="N46" i="5" s="1"/>
  <c r="D19" i="6" l="1"/>
  <c r="J27" i="6"/>
  <c r="J24" i="6"/>
  <c r="J22" i="6"/>
  <c r="J19" i="6"/>
  <c r="J17" i="6"/>
  <c r="J16" i="6"/>
  <c r="J12" i="6"/>
  <c r="J10" i="6"/>
  <c r="G19" i="6"/>
  <c r="G20" i="6"/>
  <c r="G21" i="6"/>
  <c r="G22" i="6"/>
  <c r="G23" i="6"/>
  <c r="G24" i="6"/>
  <c r="G25" i="6"/>
  <c r="G26" i="6"/>
  <c r="G27" i="6"/>
  <c r="G28" i="6"/>
  <c r="G29" i="6"/>
  <c r="G30" i="6"/>
  <c r="G31" i="6"/>
  <c r="G32" i="6"/>
  <c r="G33" i="6"/>
  <c r="G34" i="6"/>
  <c r="G35" i="6"/>
  <c r="G36" i="6"/>
  <c r="G37" i="6"/>
  <c r="G38" i="6"/>
  <c r="G40" i="6"/>
  <c r="G41" i="6"/>
  <c r="G42" i="6"/>
  <c r="G43" i="6"/>
  <c r="G44" i="6"/>
  <c r="G45" i="6"/>
  <c r="G46" i="6"/>
  <c r="G11" i="6"/>
  <c r="G12" i="6"/>
  <c r="G13" i="6"/>
  <c r="G14" i="6"/>
  <c r="J14" i="6" s="1"/>
  <c r="G15" i="6"/>
  <c r="G16" i="6"/>
  <c r="G17" i="6"/>
  <c r="F45" i="6"/>
  <c r="F46" i="6"/>
  <c r="F44" i="6"/>
  <c r="F42" i="6"/>
  <c r="F43" i="6"/>
  <c r="F41" i="6"/>
  <c r="F40" i="6"/>
  <c r="F34" i="6"/>
  <c r="F35" i="6"/>
  <c r="F36" i="6"/>
  <c r="F37" i="6"/>
  <c r="F38" i="6"/>
  <c r="F33" i="6"/>
  <c r="F32" i="6"/>
  <c r="F31" i="6"/>
  <c r="F30" i="6"/>
  <c r="F29" i="6"/>
  <c r="F28" i="6"/>
  <c r="F26" i="6"/>
  <c r="F27" i="6"/>
  <c r="F25" i="6"/>
  <c r="F23" i="6"/>
  <c r="F24" i="6"/>
  <c r="F22" i="6"/>
  <c r="F21" i="6"/>
  <c r="F20" i="6"/>
  <c r="F19" i="6"/>
  <c r="F16" i="6"/>
  <c r="F17" i="6"/>
  <c r="F15" i="6"/>
  <c r="F13" i="6"/>
  <c r="F14" i="6"/>
  <c r="F12" i="6"/>
  <c r="F11" i="6"/>
  <c r="F10" i="6"/>
  <c r="G10" i="6" s="1"/>
  <c r="D46" i="6"/>
  <c r="D45" i="6"/>
  <c r="D44" i="6"/>
  <c r="D43" i="6"/>
  <c r="D42" i="6"/>
  <c r="D41" i="6"/>
  <c r="D40" i="6"/>
  <c r="D38" i="6"/>
  <c r="D37" i="6"/>
  <c r="D36" i="6"/>
  <c r="D35" i="6"/>
  <c r="D34" i="6"/>
  <c r="D33" i="6"/>
  <c r="D32" i="6"/>
  <c r="D31" i="6"/>
  <c r="D30" i="6"/>
  <c r="D29" i="6"/>
  <c r="D28" i="6"/>
  <c r="D27" i="6"/>
  <c r="D26" i="6"/>
  <c r="D25" i="6"/>
  <c r="D24" i="6"/>
  <c r="D23" i="6"/>
  <c r="D22" i="6"/>
  <c r="D21" i="6"/>
  <c r="D20" i="6"/>
  <c r="D17" i="6"/>
  <c r="D16" i="6"/>
  <c r="D15" i="6"/>
  <c r="D14" i="6"/>
  <c r="D13" i="6"/>
  <c r="D12" i="6"/>
  <c r="D11" i="6"/>
  <c r="D10" i="6"/>
  <c r="N30" i="5" l="1"/>
  <c r="N32" i="5"/>
  <c r="N34" i="5"/>
  <c r="N35" i="5"/>
  <c r="N36" i="5"/>
  <c r="N37" i="5"/>
  <c r="N38" i="5"/>
  <c r="N42" i="5"/>
  <c r="N43" i="5"/>
  <c r="N41" i="5"/>
  <c r="N26" i="5"/>
  <c r="N27" i="5"/>
  <c r="N25" i="5"/>
  <c r="N22" i="5"/>
  <c r="M23" i="5"/>
  <c r="N23" i="5" s="1"/>
  <c r="M22" i="5"/>
  <c r="F44" i="5"/>
  <c r="F43" i="5"/>
  <c r="G43" i="5" s="1"/>
  <c r="F42" i="5"/>
  <c r="F41" i="5"/>
  <c r="F40" i="5"/>
  <c r="F38" i="5"/>
  <c r="G38" i="5" s="1"/>
  <c r="F37" i="5"/>
  <c r="F36" i="5"/>
  <c r="F35" i="5"/>
  <c r="F34" i="5"/>
  <c r="G34" i="5" s="1"/>
  <c r="F33" i="5"/>
  <c r="F32" i="5"/>
  <c r="F31" i="5"/>
  <c r="F30" i="5"/>
  <c r="F29" i="5"/>
  <c r="F28" i="5"/>
  <c r="F27" i="5"/>
  <c r="F26" i="5"/>
  <c r="G26" i="5" s="1"/>
  <c r="F25" i="5"/>
  <c r="F24" i="5"/>
  <c r="F23" i="5"/>
  <c r="F22" i="5"/>
  <c r="G22" i="5" s="1"/>
  <c r="F21" i="5"/>
  <c r="F20" i="5"/>
  <c r="F19" i="5"/>
  <c r="F17" i="5"/>
  <c r="F16" i="5"/>
  <c r="F15" i="5"/>
  <c r="F14" i="5"/>
  <c r="F13" i="5"/>
  <c r="F12" i="5"/>
  <c r="F11" i="5"/>
  <c r="F10" i="5"/>
  <c r="M10" i="5"/>
  <c r="N10" i="5" s="1"/>
  <c r="M44" i="5"/>
  <c r="M43" i="5"/>
  <c r="M42" i="5"/>
  <c r="M41" i="5"/>
  <c r="M40" i="5"/>
  <c r="M38" i="5"/>
  <c r="M37" i="5"/>
  <c r="M36" i="5"/>
  <c r="M35" i="5"/>
  <c r="M34" i="5"/>
  <c r="M33" i="5"/>
  <c r="M32" i="5"/>
  <c r="M31" i="5"/>
  <c r="M30" i="5"/>
  <c r="M29" i="5"/>
  <c r="M28" i="5"/>
  <c r="M27" i="5"/>
  <c r="M26" i="5"/>
  <c r="M21" i="5"/>
  <c r="M20" i="5"/>
  <c r="M17" i="5"/>
  <c r="M16" i="5"/>
  <c r="M15" i="5"/>
  <c r="M14" i="5"/>
  <c r="M13" i="5"/>
  <c r="M12" i="5"/>
  <c r="M11" i="5"/>
  <c r="L46" i="5"/>
  <c r="L41" i="5"/>
  <c r="L42" i="5"/>
  <c r="L43" i="5"/>
  <c r="L44" i="5"/>
  <c r="L45" i="5"/>
  <c r="L40" i="5"/>
  <c r="L20" i="5"/>
  <c r="L21" i="5"/>
  <c r="L22" i="5"/>
  <c r="L23" i="5"/>
  <c r="L24" i="5"/>
  <c r="L25" i="5"/>
  <c r="L26" i="5"/>
  <c r="L27" i="5"/>
  <c r="L28" i="5"/>
  <c r="L29" i="5"/>
  <c r="L30" i="5"/>
  <c r="L31" i="5"/>
  <c r="L32" i="5"/>
  <c r="L33" i="5"/>
  <c r="L34" i="5"/>
  <c r="L35" i="5"/>
  <c r="L36" i="5"/>
  <c r="L37" i="5"/>
  <c r="L38" i="5"/>
  <c r="L19" i="5"/>
  <c r="L11" i="5"/>
  <c r="L12" i="5"/>
  <c r="L13" i="5"/>
  <c r="L14" i="5"/>
  <c r="L15" i="5"/>
  <c r="L16" i="5"/>
  <c r="L17" i="5"/>
  <c r="L10" i="5"/>
  <c r="G45" i="5"/>
  <c r="G46" i="5"/>
  <c r="G42" i="5"/>
  <c r="G35" i="5"/>
  <c r="G36" i="5"/>
  <c r="G37" i="5"/>
  <c r="G32" i="5"/>
  <c r="G30" i="5"/>
  <c r="G27" i="5"/>
  <c r="G23" i="5"/>
  <c r="G24" i="5"/>
  <c r="G10" i="5"/>
  <c r="D46" i="5"/>
  <c r="D45" i="5"/>
  <c r="D44" i="5"/>
  <c r="D43" i="5"/>
  <c r="D42" i="5"/>
  <c r="D41" i="5"/>
  <c r="D40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17" i="5"/>
  <c r="D16" i="5"/>
  <c r="D15" i="5"/>
  <c r="D14" i="5"/>
  <c r="D13" i="5"/>
  <c r="D12" i="5"/>
  <c r="D11" i="5"/>
  <c r="D10" i="5"/>
  <c r="C47" i="6" l="1"/>
  <c r="C47" i="5"/>
  <c r="P45" i="5" l="1"/>
  <c r="Q45" i="5" s="1"/>
  <c r="P36" i="5"/>
  <c r="P46" i="5"/>
  <c r="Q46" i="5" s="1"/>
  <c r="P37" i="5"/>
  <c r="Q37" i="5" s="1"/>
  <c r="P35" i="5"/>
  <c r="P20" i="5"/>
  <c r="Q20" i="5" s="1"/>
  <c r="P30" i="5"/>
  <c r="Q30" i="5" s="1"/>
  <c r="I34" i="5"/>
  <c r="J34" i="5" s="1"/>
  <c r="I12" i="5"/>
  <c r="I32" i="5"/>
  <c r="J32" i="5" s="1"/>
  <c r="I43" i="5"/>
  <c r="J43" i="5" s="1"/>
  <c r="P21" i="5"/>
  <c r="Q21" i="5" s="1"/>
  <c r="I30" i="5"/>
  <c r="J30" i="5" s="1"/>
  <c r="P32" i="5"/>
  <c r="Q32" i="5" s="1"/>
  <c r="P43" i="5"/>
  <c r="Q43" i="5" s="1"/>
  <c r="I23" i="5"/>
  <c r="J23" i="5" s="1"/>
  <c r="I25" i="6"/>
  <c r="J25" i="6" s="1"/>
  <c r="I20" i="6"/>
  <c r="J20" i="6" s="1"/>
  <c r="I15" i="6"/>
  <c r="J15" i="6" s="1"/>
  <c r="I32" i="6"/>
  <c r="J32" i="6" s="1"/>
  <c r="I28" i="6"/>
  <c r="J28" i="6" s="1"/>
  <c r="I44" i="6"/>
  <c r="J44" i="6" s="1"/>
  <c r="I23" i="6"/>
  <c r="J23" i="6" s="1"/>
  <c r="I34" i="6"/>
  <c r="J34" i="6" s="1"/>
  <c r="I30" i="6"/>
  <c r="J30" i="6" s="1"/>
  <c r="I11" i="6"/>
  <c r="J11" i="6" s="1"/>
  <c r="I43" i="6"/>
  <c r="J43" i="6" s="1"/>
  <c r="I21" i="6"/>
  <c r="J21" i="6" s="1"/>
  <c r="I40" i="6"/>
  <c r="J40" i="6" s="1"/>
  <c r="I13" i="6"/>
  <c r="J13" i="6" s="1"/>
  <c r="J47" i="6" l="1"/>
  <c r="K46" i="6"/>
  <c r="K45" i="6"/>
  <c r="K44" i="6"/>
  <c r="K43" i="6"/>
  <c r="K42" i="6"/>
  <c r="K41" i="6"/>
  <c r="K40" i="6"/>
  <c r="K38" i="6"/>
  <c r="K37" i="6"/>
  <c r="K36" i="6"/>
  <c r="K35" i="6"/>
  <c r="K34" i="6"/>
  <c r="K33" i="6"/>
  <c r="K32" i="6"/>
  <c r="K31" i="6"/>
  <c r="K30" i="6"/>
  <c r="K29" i="6"/>
  <c r="K28" i="6"/>
  <c r="K27" i="6"/>
  <c r="K26" i="6"/>
  <c r="K25" i="6"/>
  <c r="K24" i="6"/>
  <c r="K23" i="6"/>
  <c r="K22" i="6"/>
  <c r="K21" i="6"/>
  <c r="K20" i="6"/>
  <c r="K19" i="6"/>
  <c r="K17" i="6"/>
  <c r="K16" i="6"/>
  <c r="K15" i="6"/>
  <c r="K14" i="6"/>
  <c r="K13" i="6"/>
  <c r="K12" i="6"/>
  <c r="K11" i="6"/>
  <c r="K10" i="6"/>
  <c r="G12" i="5" l="1"/>
  <c r="G13" i="5"/>
  <c r="G14" i="5"/>
  <c r="G15" i="5"/>
  <c r="G16" i="5"/>
  <c r="G17" i="5"/>
  <c r="G19" i="5"/>
  <c r="G20" i="5"/>
  <c r="G21" i="5"/>
  <c r="G25" i="5"/>
  <c r="G28" i="5"/>
  <c r="G29" i="5"/>
  <c r="G31" i="5"/>
  <c r="G33" i="5"/>
  <c r="G40" i="5"/>
  <c r="G41" i="5"/>
  <c r="G44" i="5"/>
  <c r="A4" i="6" l="1"/>
  <c r="A3" i="6"/>
  <c r="A2" i="6"/>
  <c r="P10" i="5" l="1"/>
  <c r="G11" i="5"/>
  <c r="I10" i="5" l="1"/>
  <c r="J10" i="5" s="1"/>
  <c r="I14" i="5"/>
  <c r="J14" i="5" s="1"/>
  <c r="I15" i="5"/>
  <c r="J15" i="5" s="1"/>
  <c r="I41" i="5"/>
  <c r="J41" i="5" s="1"/>
  <c r="J12" i="5"/>
  <c r="I13" i="5"/>
  <c r="J13" i="5" s="1"/>
  <c r="I40" i="5"/>
  <c r="J40" i="5" s="1"/>
  <c r="I44" i="5"/>
  <c r="J44" i="5" s="1"/>
  <c r="I16" i="5"/>
  <c r="J16" i="5" s="1"/>
  <c r="I17" i="5"/>
  <c r="J17" i="5" s="1"/>
  <c r="I20" i="5"/>
  <c r="J20" i="5" s="1"/>
  <c r="I22" i="5"/>
  <c r="J22" i="5" s="1"/>
  <c r="P28" i="5"/>
  <c r="P12" i="5"/>
  <c r="P13" i="5"/>
  <c r="P15" i="5"/>
  <c r="I19" i="5"/>
  <c r="J19" i="5" s="1"/>
  <c r="I25" i="5"/>
  <c r="J25" i="5" s="1"/>
  <c r="I27" i="5"/>
  <c r="J27" i="5" s="1"/>
  <c r="P40" i="5"/>
  <c r="P16" i="5"/>
  <c r="P17" i="5"/>
  <c r="I21" i="5"/>
  <c r="J21" i="5" s="1"/>
  <c r="I24" i="5"/>
  <c r="J24" i="5" s="1"/>
  <c r="P19" i="5"/>
  <c r="P22" i="5"/>
  <c r="I28" i="5"/>
  <c r="J28" i="5" s="1"/>
  <c r="I31" i="5"/>
  <c r="J31" i="5" s="1"/>
  <c r="P24" i="5"/>
  <c r="P27" i="5"/>
  <c r="I29" i="5"/>
  <c r="J29" i="5" s="1"/>
  <c r="I33" i="5"/>
  <c r="J33" i="5" s="1"/>
  <c r="N21" i="5"/>
  <c r="N29" i="5"/>
  <c r="N12" i="5"/>
  <c r="N16" i="5"/>
  <c r="N15" i="5"/>
  <c r="N31" i="5"/>
  <c r="N40" i="5"/>
  <c r="N14" i="5"/>
  <c r="N13" i="5"/>
  <c r="N20" i="5"/>
  <c r="N17" i="5"/>
  <c r="N19" i="5"/>
  <c r="N33" i="5"/>
  <c r="N44" i="5"/>
  <c r="N28" i="5"/>
  <c r="I11" i="5"/>
  <c r="J11" i="5" s="1"/>
  <c r="P11" i="5"/>
  <c r="N11" i="5"/>
  <c r="J47" i="5" l="1"/>
  <c r="Q15" i="5"/>
  <c r="Q28" i="5"/>
  <c r="Q22" i="5"/>
  <c r="Q24" i="5"/>
  <c r="Q13" i="5"/>
  <c r="Q11" i="5"/>
  <c r="Q27" i="5"/>
  <c r="Q40" i="5"/>
  <c r="Q47" i="5" l="1"/>
</calcChain>
</file>

<file path=xl/sharedStrings.xml><?xml version="1.0" encoding="utf-8"?>
<sst xmlns="http://schemas.openxmlformats.org/spreadsheetml/2006/main" count="229" uniqueCount="63">
  <si>
    <t>Puntuación técnica</t>
  </si>
  <si>
    <t>Puntuación económica</t>
  </si>
  <si>
    <t>De conformidad con los criterios de valoración establecidos en el Pliego de Condiciones Generales de Contratación de este Expediente.</t>
  </si>
  <si>
    <t>RESUMEN PUNTUACIÓN TÉCNICA Y ECONÓMICA</t>
  </si>
  <si>
    <t>Lotes</t>
  </si>
  <si>
    <t>Ofertas</t>
  </si>
  <si>
    <t>Valor estimado             (Sin modificación)</t>
  </si>
  <si>
    <t>FÓRMULA PUNTUACIÓN ECONÓMICA: Adaptar a cada lote, estará condicionada por el número de ofertas y por los puntos que se dan a la oferta económica.</t>
  </si>
  <si>
    <t>Puntuación Total</t>
  </si>
  <si>
    <t>Adaptar la tabla al número de lotes y ofertas recibidas, insertando o eliminando filas, tener  en cuenta si se desestima una oferta, indicar los motivos..</t>
  </si>
  <si>
    <t>Oferta seleccionada</t>
  </si>
  <si>
    <t>Factor de ponderación</t>
  </si>
  <si>
    <t>Valoración ponderada</t>
  </si>
  <si>
    <t>Valor estimado total:</t>
  </si>
  <si>
    <t>Puntuación total ponderada</t>
  </si>
  <si>
    <t>Alternativa 1: ofertas individuales</t>
  </si>
  <si>
    <t>Baja oferta conjunta</t>
  </si>
  <si>
    <t>Total Puntuación</t>
  </si>
  <si>
    <r>
      <t>Importe Oferta</t>
    </r>
    <r>
      <rPr>
        <b/>
        <i/>
        <sz val="12"/>
        <rFont val="Tahoma"/>
        <family val="2"/>
      </rPr>
      <t xml:space="preserve"> (</t>
    </r>
    <r>
      <rPr>
        <sz val="12"/>
        <rFont val="Tahoma"/>
        <family val="2"/>
      </rPr>
      <t>Contrato + prorroga/s)</t>
    </r>
  </si>
  <si>
    <t>Celda contigua: incluir puntuación económica indicada en los pliegos. Si los lotes se valoran con diferente puntuación económica hay que tenerlo en cuenta en la fórmula.</t>
  </si>
  <si>
    <t>Importe Oferta (Contrato + prorroga/s)</t>
  </si>
  <si>
    <t>Puntuación total ponderada:</t>
  </si>
  <si>
    <t>%  Ahorro s/ licitación</t>
  </si>
  <si>
    <t>LOTE 2:</t>
  </si>
  <si>
    <t>LOTE 3:</t>
  </si>
  <si>
    <t>LOTE 4:</t>
  </si>
  <si>
    <t>LOTE 6:</t>
  </si>
  <si>
    <t>LOTE 8:</t>
  </si>
  <si>
    <t>Aragón</t>
  </si>
  <si>
    <t>Asturias</t>
  </si>
  <si>
    <t>Baleares</t>
  </si>
  <si>
    <t>Cantabria</t>
  </si>
  <si>
    <t>Castilla y León</t>
  </si>
  <si>
    <t>LOTE 10: Extremadura</t>
  </si>
  <si>
    <t>LOTE 11: Galicia</t>
  </si>
  <si>
    <t>LOTE 12: La Rioja</t>
  </si>
  <si>
    <t>LOTE 13: Comunidad de Madrid</t>
  </si>
  <si>
    <t>LOTE 16: País Vasco</t>
  </si>
  <si>
    <t>LOTE 17: Comunidad Valenciana</t>
  </si>
  <si>
    <t xml:space="preserve">	TEAM SERVICE FACILITY S.L.</t>
  </si>
  <si>
    <t>LIMCAMAR SL</t>
  </si>
  <si>
    <t>SAMYL FACILITY SERVICES SL</t>
  </si>
  <si>
    <t xml:space="preserve">	LIMCAMAR SL</t>
  </si>
  <si>
    <t>LOTE 1: Andalucía, Ceuta y Melilla</t>
  </si>
  <si>
    <t>DESIERTO</t>
  </si>
  <si>
    <t>ILUNION LIMPIEZA Y MEDIO AMBIENTE, S.A.</t>
  </si>
  <si>
    <t>TEAM SERVICE FACILITY S.L.</t>
  </si>
  <si>
    <t>LOTE 5: Canarias</t>
  </si>
  <si>
    <t>LOTE 7: Castilla-La Mancha</t>
  </si>
  <si>
    <t>ALTHENIA, S.L.</t>
  </si>
  <si>
    <t>LOTE 9: Cataluña</t>
  </si>
  <si>
    <t>CLECE SA</t>
  </si>
  <si>
    <t>SACYR FACILITIES, S.A.U.</t>
  </si>
  <si>
    <t xml:space="preserve">	ALTHENIA, S.L.</t>
  </si>
  <si>
    <t xml:space="preserve">	SAMYL FACILITY SERVICES SL</t>
  </si>
  <si>
    <t xml:space="preserve">ILUNION LIMPIEZA Y MEDIO AMBIENTE, S.A.	</t>
  </si>
  <si>
    <t xml:space="preserve">Alternativa 2: oferta conjunta "ALTHENIA" </t>
  </si>
  <si>
    <t>PROPUESTA DE ADJUDICACIÓN DEL EXPEDIENTE S-02369-2023</t>
  </si>
  <si>
    <t>Servicio de limpieza e higienización en los centros de CRTVE</t>
  </si>
  <si>
    <t>LOTE 15: Navarra</t>
  </si>
  <si>
    <t>LOTE 14: Murcia</t>
  </si>
  <si>
    <t>Madrid, a 19 de octubre de 2023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</si>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</sst>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_-;\-* #,##0.00_-;_-* &quot;-&quot;??_-;_-@_-"/>
    <numFmt numFmtId="165" formatCode="_-* #,##0\ _€_-;\-* #,##0\ _€_-;_-* &quot;-&quot;??\ _€_-;_-@_-"/>
    <numFmt numFmtId="166" formatCode="#,##0.00\ &quot;€&quot;"/>
  </numFmts>
  <fonts count="25" x14ac:knownFonts="1">
    <font>
      <sz val="10"/>
      <name val="Arial"/>
    </font>
    <font>
      <sz val="8"/>
      <name val="Tahoma"/>
      <family val="2"/>
    </font>
    <font>
      <b/>
      <sz val="8"/>
      <name val="Tahoma"/>
      <family val="2"/>
    </font>
    <font>
      <sz val="10"/>
      <name val="Arial"/>
      <family val="2"/>
    </font>
    <font>
      <sz val="12"/>
      <name val="Arial"/>
      <family val="2"/>
    </font>
    <font>
      <sz val="11"/>
      <name val="Tahoma"/>
      <family val="2"/>
    </font>
    <font>
      <sz val="12"/>
      <name val="Tahoma"/>
      <family val="2"/>
    </font>
    <font>
      <sz val="10"/>
      <name val="Arial"/>
      <family val="2"/>
    </font>
    <font>
      <b/>
      <u/>
      <sz val="12"/>
      <name val="Bookman Old Style"/>
      <family val="1"/>
    </font>
    <font>
      <b/>
      <sz val="12"/>
      <name val="Tahoma"/>
      <family val="2"/>
    </font>
    <font>
      <b/>
      <sz val="10"/>
      <color rgb="FFFF0000"/>
      <name val="Arial"/>
      <family val="2"/>
    </font>
    <font>
      <b/>
      <sz val="8"/>
      <color rgb="FFFF0000"/>
      <name val="Arial"/>
      <family val="2"/>
    </font>
    <font>
      <b/>
      <sz val="8"/>
      <color rgb="FFFF0000"/>
      <name val="Tahoma"/>
      <family val="2"/>
    </font>
    <font>
      <b/>
      <i/>
      <sz val="12"/>
      <name val="Tahoma"/>
      <family val="2"/>
    </font>
    <font>
      <b/>
      <u/>
      <sz val="14"/>
      <color theme="9" tint="-0.249977111117893"/>
      <name val="Tahoma"/>
      <family val="2"/>
    </font>
    <font>
      <sz val="10"/>
      <name val="Arial"/>
      <family val="2"/>
    </font>
    <font>
      <b/>
      <sz val="10.5"/>
      <name val="Tahoma"/>
      <family val="2"/>
    </font>
    <font>
      <b/>
      <sz val="12"/>
      <name val="Arial"/>
      <family val="2"/>
    </font>
    <font>
      <b/>
      <sz val="12"/>
      <color rgb="FFFF0000"/>
      <name val="Tahoma"/>
      <family val="2"/>
    </font>
    <font>
      <b/>
      <sz val="14"/>
      <color theme="9"/>
      <name val="Tahoma"/>
      <family val="2"/>
    </font>
    <font>
      <sz val="8"/>
      <color rgb="FFFF0000"/>
      <name val="Tahoma"/>
      <family val="2"/>
    </font>
    <font>
      <sz val="10"/>
      <name val="Arial"/>
    </font>
    <font>
      <sz val="12"/>
      <color rgb="FFFF0000"/>
      <name val="Tahoma"/>
      <family val="2"/>
    </font>
    <font>
      <b/>
      <sz val="11"/>
      <name val="Tahoma"/>
      <family val="2"/>
    </font>
    <font>
      <b/>
      <sz val="14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43" fontId="7" fillId="0" borderId="0" applyFont="0" applyFill="0" applyBorder="0" applyAlignment="0" applyProtection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44" fontId="21" fillId="0" borderId="0" applyFont="0" applyFill="0" applyBorder="0" applyAlignment="0" applyProtection="0"/>
  </cellStyleXfs>
  <cellXfs count="309">
    <xf numFmtId="0" fontId="0" fillId="0" borderId="0" xfId="0"/>
    <xf numFmtId="0" fontId="5" fillId="0" borderId="6" xfId="0" applyFont="1" applyBorder="1"/>
    <xf numFmtId="0" fontId="6" fillId="0" borderId="0" xfId="0" applyFont="1" applyFill="1" applyBorder="1" applyAlignment="1">
      <alignment vertical="center" wrapText="1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right" indent="1"/>
    </xf>
    <xf numFmtId="0" fontId="2" fillId="0" borderId="0" xfId="0" applyFont="1" applyFill="1" applyBorder="1" applyAlignment="1">
      <alignment horizontal="right" indent="1"/>
    </xf>
    <xf numFmtId="0" fontId="8" fillId="0" borderId="0" xfId="0" applyFont="1" applyFill="1" applyBorder="1" applyAlignment="1">
      <alignment horizontal="center" wrapText="1"/>
    </xf>
    <xf numFmtId="0" fontId="8" fillId="0" borderId="0" xfId="0" applyFont="1" applyFill="1" applyBorder="1" applyAlignment="1">
      <alignment horizontal="center"/>
    </xf>
    <xf numFmtId="0" fontId="6" fillId="0" borderId="0" xfId="0" applyFont="1" applyFill="1" applyBorder="1"/>
    <xf numFmtId="0" fontId="4" fillId="0" borderId="0" xfId="0" applyFont="1" applyFill="1" applyBorder="1" applyAlignment="1">
      <alignment vertical="center" wrapText="1"/>
    </xf>
    <xf numFmtId="0" fontId="3" fillId="0" borderId="0" xfId="0" applyFont="1" applyFill="1" applyBorder="1"/>
    <xf numFmtId="0" fontId="10" fillId="0" borderId="0" xfId="0" applyFont="1" applyAlignment="1">
      <alignment vertical="center" wrapText="1"/>
    </xf>
    <xf numFmtId="0" fontId="12" fillId="0" borderId="0" xfId="0" applyFont="1" applyFill="1" applyBorder="1"/>
    <xf numFmtId="0" fontId="11" fillId="0" borderId="2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vertical="center" wrapText="1"/>
    </xf>
    <xf numFmtId="0" fontId="9" fillId="3" borderId="5" xfId="0" applyFont="1" applyFill="1" applyBorder="1" applyAlignment="1">
      <alignment vertical="center" wrapText="1"/>
    </xf>
    <xf numFmtId="0" fontId="9" fillId="3" borderId="3" xfId="0" applyFont="1" applyFill="1" applyBorder="1" applyAlignment="1">
      <alignment vertical="center" wrapText="1"/>
    </xf>
    <xf numFmtId="4" fontId="6" fillId="4" borderId="2" xfId="0" applyNumberFormat="1" applyFont="1" applyFill="1" applyBorder="1" applyAlignment="1">
      <alignment horizontal="right" vertical="center" indent="1"/>
    </xf>
    <xf numFmtId="0" fontId="14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vertical="top"/>
    </xf>
    <xf numFmtId="10" fontId="5" fillId="0" borderId="12" xfId="0" applyNumberFormat="1" applyFont="1" applyFill="1" applyBorder="1" applyAlignment="1">
      <alignment horizontal="center" vertical="center"/>
    </xf>
    <xf numFmtId="164" fontId="5" fillId="0" borderId="13" xfId="2" applyFont="1" applyFill="1" applyBorder="1" applyAlignment="1">
      <alignment horizontal="center" vertical="center"/>
    </xf>
    <xf numFmtId="10" fontId="5" fillId="0" borderId="2" xfId="0" applyNumberFormat="1" applyFont="1" applyFill="1" applyBorder="1" applyAlignment="1">
      <alignment horizontal="center" vertical="center"/>
    </xf>
    <xf numFmtId="164" fontId="5" fillId="0" borderId="14" xfId="2" applyFont="1" applyFill="1" applyBorder="1" applyAlignment="1">
      <alignment horizontal="center" vertical="center"/>
    </xf>
    <xf numFmtId="10" fontId="5" fillId="0" borderId="16" xfId="0" applyNumberFormat="1" applyFont="1" applyFill="1" applyBorder="1" applyAlignment="1">
      <alignment horizontal="center" vertical="center"/>
    </xf>
    <xf numFmtId="164" fontId="5" fillId="0" borderId="17" xfId="2" applyFont="1" applyFill="1" applyBorder="1" applyAlignment="1">
      <alignment horizontal="center" vertical="center"/>
    </xf>
    <xf numFmtId="9" fontId="5" fillId="0" borderId="11" xfId="3" applyFont="1" applyFill="1" applyBorder="1" applyAlignment="1">
      <alignment horizontal="center" vertical="center"/>
    </xf>
    <xf numFmtId="9" fontId="5" fillId="0" borderId="7" xfId="3" applyFont="1" applyFill="1" applyBorder="1" applyAlignment="1">
      <alignment horizontal="center" vertical="center"/>
    </xf>
    <xf numFmtId="0" fontId="16" fillId="0" borderId="23" xfId="0" applyNumberFormat="1" applyFont="1" applyFill="1" applyBorder="1" applyAlignment="1">
      <alignment horizontal="left" vertical="top" wrapText="1"/>
    </xf>
    <xf numFmtId="164" fontId="5" fillId="0" borderId="24" xfId="2" applyFont="1" applyFill="1" applyBorder="1" applyAlignment="1">
      <alignment horizontal="center" vertical="center"/>
    </xf>
    <xf numFmtId="166" fontId="6" fillId="4" borderId="12" xfId="0" applyNumberFormat="1" applyFont="1" applyFill="1" applyBorder="1" applyAlignment="1">
      <alignment horizontal="right" vertical="center" indent="1"/>
    </xf>
    <xf numFmtId="4" fontId="6" fillId="4" borderId="12" xfId="0" applyNumberFormat="1" applyFont="1" applyFill="1" applyBorder="1" applyAlignment="1">
      <alignment horizontal="right" vertical="center" indent="1"/>
    </xf>
    <xf numFmtId="0" fontId="6" fillId="0" borderId="11" xfId="0" applyNumberFormat="1" applyFont="1" applyFill="1" applyBorder="1" applyAlignment="1">
      <alignment horizontal="center" vertical="center" wrapText="1"/>
    </xf>
    <xf numFmtId="0" fontId="6" fillId="0" borderId="7" xfId="0" applyNumberFormat="1" applyFont="1" applyFill="1" applyBorder="1" applyAlignment="1">
      <alignment horizontal="center" vertical="center" wrapText="1"/>
    </xf>
    <xf numFmtId="0" fontId="6" fillId="0" borderId="18" xfId="0" applyNumberFormat="1" applyFont="1" applyFill="1" applyBorder="1" applyAlignment="1">
      <alignment horizontal="center" vertical="center" wrapText="1"/>
    </xf>
    <xf numFmtId="166" fontId="6" fillId="4" borderId="2" xfId="0" applyNumberFormat="1" applyFont="1" applyFill="1" applyBorder="1" applyAlignment="1">
      <alignment horizontal="right" vertical="center" indent="1"/>
    </xf>
    <xf numFmtId="0" fontId="0" fillId="5" borderId="0" xfId="0" applyFill="1"/>
    <xf numFmtId="0" fontId="4" fillId="5" borderId="0" xfId="0" applyFont="1" applyFill="1" applyBorder="1" applyAlignment="1">
      <alignment vertical="center" wrapText="1"/>
    </xf>
    <xf numFmtId="0" fontId="3" fillId="5" borderId="0" xfId="0" applyFont="1" applyFill="1" applyBorder="1"/>
    <xf numFmtId="0" fontId="5" fillId="5" borderId="6" xfId="0" applyFont="1" applyFill="1" applyBorder="1"/>
    <xf numFmtId="0" fontId="14" fillId="0" borderId="0" xfId="0" applyFont="1" applyFill="1" applyBorder="1" applyAlignment="1">
      <alignment horizontal="center" vertical="center" wrapText="1"/>
    </xf>
    <xf numFmtId="0" fontId="9" fillId="3" borderId="20" xfId="0" applyFont="1" applyFill="1" applyBorder="1" applyAlignment="1">
      <alignment vertical="center" wrapText="1"/>
    </xf>
    <xf numFmtId="0" fontId="6" fillId="0" borderId="8" xfId="0" applyNumberFormat="1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vertical="center"/>
    </xf>
    <xf numFmtId="166" fontId="14" fillId="0" borderId="0" xfId="0" applyNumberFormat="1" applyFont="1" applyFill="1" applyBorder="1" applyAlignment="1">
      <alignment horizontal="center" vertical="center" wrapText="1"/>
    </xf>
    <xf numFmtId="10" fontId="5" fillId="0" borderId="15" xfId="3" applyNumberFormat="1" applyFont="1" applyFill="1" applyBorder="1" applyAlignment="1">
      <alignment horizontal="center" vertical="center"/>
    </xf>
    <xf numFmtId="9" fontId="5" fillId="4" borderId="7" xfId="3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10" fontId="5" fillId="4" borderId="2" xfId="0" applyNumberFormat="1" applyFont="1" applyFill="1" applyBorder="1" applyAlignment="1">
      <alignment horizontal="center" vertical="center"/>
    </xf>
    <xf numFmtId="164" fontId="5" fillId="4" borderId="14" xfId="2" applyFont="1" applyFill="1" applyBorder="1" applyAlignment="1">
      <alignment horizontal="center" vertical="center"/>
    </xf>
    <xf numFmtId="9" fontId="5" fillId="4" borderId="11" xfId="3" applyFont="1" applyFill="1" applyBorder="1" applyAlignment="1">
      <alignment horizontal="center" vertical="center"/>
    </xf>
    <xf numFmtId="10" fontId="5" fillId="4" borderId="12" xfId="0" applyNumberFormat="1" applyFont="1" applyFill="1" applyBorder="1" applyAlignment="1">
      <alignment horizontal="center" vertical="center"/>
    </xf>
    <xf numFmtId="164" fontId="5" fillId="4" borderId="13" xfId="2" applyFont="1" applyFill="1" applyBorder="1" applyAlignment="1">
      <alignment horizontal="center" vertical="center"/>
    </xf>
    <xf numFmtId="4" fontId="0" fillId="0" borderId="0" xfId="0" applyNumberFormat="1"/>
    <xf numFmtId="4" fontId="0" fillId="0" borderId="0" xfId="0" applyNumberFormat="1" applyFill="1"/>
    <xf numFmtId="0" fontId="9" fillId="3" borderId="5" xfId="0" applyFont="1" applyFill="1" applyBorder="1" applyAlignment="1">
      <alignment vertical="center" wrapText="1"/>
    </xf>
    <xf numFmtId="0" fontId="9" fillId="0" borderId="3" xfId="0" applyNumberFormat="1" applyFont="1" applyFill="1" applyBorder="1" applyAlignment="1">
      <alignment horizontal="right" vertical="center" wrapText="1"/>
    </xf>
    <xf numFmtId="166" fontId="17" fillId="0" borderId="3" xfId="0" applyNumberFormat="1" applyFont="1" applyFill="1" applyBorder="1" applyAlignment="1">
      <alignment horizontal="center" vertical="center"/>
    </xf>
    <xf numFmtId="4" fontId="6" fillId="4" borderId="13" xfId="0" applyNumberFormat="1" applyFont="1" applyFill="1" applyBorder="1" applyAlignment="1">
      <alignment horizontal="center" vertical="center"/>
    </xf>
    <xf numFmtId="4" fontId="6" fillId="4" borderId="17" xfId="0" applyNumberFormat="1" applyFont="1" applyFill="1" applyBorder="1" applyAlignment="1">
      <alignment horizontal="center" vertical="center"/>
    </xf>
    <xf numFmtId="4" fontId="6" fillId="4" borderId="16" xfId="0" applyNumberFormat="1" applyFont="1" applyFill="1" applyBorder="1" applyAlignment="1">
      <alignment horizontal="right" vertical="center" indent="1"/>
    </xf>
    <xf numFmtId="10" fontId="5" fillId="4" borderId="16" xfId="0" applyNumberFormat="1" applyFont="1" applyFill="1" applyBorder="1" applyAlignment="1">
      <alignment horizontal="center" vertical="center"/>
    </xf>
    <xf numFmtId="164" fontId="5" fillId="4" borderId="17" xfId="2" applyFont="1" applyFill="1" applyBorder="1" applyAlignment="1">
      <alignment horizontal="center" vertical="center"/>
    </xf>
    <xf numFmtId="10" fontId="5" fillId="4" borderId="15" xfId="3" applyNumberFormat="1" applyFont="1" applyFill="1" applyBorder="1" applyAlignment="1">
      <alignment horizontal="center" vertical="center"/>
    </xf>
    <xf numFmtId="4" fontId="6" fillId="4" borderId="14" xfId="0" applyNumberFormat="1" applyFont="1" applyFill="1" applyBorder="1" applyAlignment="1">
      <alignment horizontal="center" vertical="center"/>
    </xf>
    <xf numFmtId="44" fontId="6" fillId="4" borderId="12" xfId="4" applyFont="1" applyFill="1" applyBorder="1" applyAlignment="1">
      <alignment horizontal="center" vertical="center"/>
    </xf>
    <xf numFmtId="4" fontId="6" fillId="4" borderId="2" xfId="0" applyNumberFormat="1" applyFont="1" applyFill="1" applyBorder="1" applyAlignment="1">
      <alignment horizontal="center" vertical="center"/>
    </xf>
    <xf numFmtId="10" fontId="5" fillId="4" borderId="7" xfId="3" applyNumberFormat="1" applyFont="1" applyFill="1" applyBorder="1" applyAlignment="1">
      <alignment horizontal="center" vertical="center"/>
    </xf>
    <xf numFmtId="44" fontId="6" fillId="4" borderId="2" xfId="4" applyFont="1" applyFill="1" applyBorder="1" applyAlignment="1">
      <alignment horizontal="center" vertical="center"/>
    </xf>
    <xf numFmtId="164" fontId="5" fillId="4" borderId="2" xfId="2" applyFont="1" applyFill="1" applyBorder="1" applyAlignment="1">
      <alignment horizontal="center" vertical="center"/>
    </xf>
    <xf numFmtId="0" fontId="9" fillId="3" borderId="5" xfId="0" applyFont="1" applyFill="1" applyBorder="1" applyAlignment="1">
      <alignment vertical="center" wrapText="1"/>
    </xf>
    <xf numFmtId="0" fontId="9" fillId="3" borderId="3" xfId="0" applyFont="1" applyFill="1" applyBorder="1" applyAlignment="1">
      <alignment vertical="center" wrapText="1"/>
    </xf>
    <xf numFmtId="4" fontId="6" fillId="5" borderId="2" xfId="0" applyNumberFormat="1" applyFont="1" applyFill="1" applyBorder="1" applyAlignment="1">
      <alignment horizontal="right" vertical="center" indent="1"/>
    </xf>
    <xf numFmtId="0" fontId="5" fillId="5" borderId="2" xfId="0" applyFont="1" applyFill="1" applyBorder="1" applyAlignment="1">
      <alignment horizontal="center" vertical="center"/>
    </xf>
    <xf numFmtId="10" fontId="5" fillId="5" borderId="2" xfId="0" applyNumberFormat="1" applyFont="1" applyFill="1" applyBorder="1" applyAlignment="1">
      <alignment horizontal="center" vertical="center"/>
    </xf>
    <xf numFmtId="0" fontId="1" fillId="5" borderId="2" xfId="0" applyFont="1" applyFill="1" applyBorder="1"/>
    <xf numFmtId="4" fontId="6" fillId="5" borderId="2" xfId="0" applyNumberFormat="1" applyFont="1" applyFill="1" applyBorder="1" applyAlignment="1">
      <alignment horizontal="center" vertical="center"/>
    </xf>
    <xf numFmtId="166" fontId="6" fillId="5" borderId="2" xfId="0" applyNumberFormat="1" applyFont="1" applyFill="1" applyBorder="1" applyAlignment="1">
      <alignment horizontal="right" vertical="center" indent="1"/>
    </xf>
    <xf numFmtId="164" fontId="5" fillId="5" borderId="2" xfId="2" applyFont="1" applyFill="1" applyBorder="1" applyAlignment="1">
      <alignment horizontal="center" vertical="center"/>
    </xf>
    <xf numFmtId="44" fontId="6" fillId="5" borderId="2" xfId="4" applyFont="1" applyFill="1" applyBorder="1" applyAlignment="1">
      <alignment horizontal="center" vertical="center"/>
    </xf>
    <xf numFmtId="0" fontId="6" fillId="5" borderId="34" xfId="0" applyNumberFormat="1" applyFont="1" applyFill="1" applyBorder="1" applyAlignment="1">
      <alignment horizontal="center" vertical="center" wrapText="1"/>
    </xf>
    <xf numFmtId="0" fontId="6" fillId="4" borderId="34" xfId="0" applyNumberFormat="1" applyFont="1" applyFill="1" applyBorder="1" applyAlignment="1">
      <alignment horizontal="center" vertical="center" wrapText="1"/>
    </xf>
    <xf numFmtId="10" fontId="5" fillId="4" borderId="19" xfId="0" applyNumberFormat="1" applyFont="1" applyFill="1" applyBorder="1" applyAlignment="1">
      <alignment horizontal="center" vertical="center"/>
    </xf>
    <xf numFmtId="0" fontId="9" fillId="2" borderId="20" xfId="0" applyFont="1" applyFill="1" applyBorder="1" applyAlignment="1">
      <alignment horizontal="center" vertical="center" wrapText="1"/>
    </xf>
    <xf numFmtId="0" fontId="6" fillId="5" borderId="32" xfId="0" applyNumberFormat="1" applyFont="1" applyFill="1" applyBorder="1" applyAlignment="1">
      <alignment horizontal="center" vertical="center" wrapText="1"/>
    </xf>
    <xf numFmtId="4" fontId="6" fillId="5" borderId="30" xfId="0" applyNumberFormat="1" applyFont="1" applyFill="1" applyBorder="1" applyAlignment="1">
      <alignment horizontal="center" vertical="center"/>
    </xf>
    <xf numFmtId="166" fontId="6" fillId="5" borderId="30" xfId="0" applyNumberFormat="1" applyFont="1" applyFill="1" applyBorder="1" applyAlignment="1">
      <alignment horizontal="right" vertical="center" indent="1"/>
    </xf>
    <xf numFmtId="4" fontId="6" fillId="5" borderId="30" xfId="0" applyNumberFormat="1" applyFont="1" applyFill="1" applyBorder="1" applyAlignment="1">
      <alignment horizontal="right" vertical="center" indent="1"/>
    </xf>
    <xf numFmtId="10" fontId="5" fillId="5" borderId="30" xfId="0" applyNumberFormat="1" applyFont="1" applyFill="1" applyBorder="1" applyAlignment="1">
      <alignment horizontal="center" vertical="center"/>
    </xf>
    <xf numFmtId="164" fontId="5" fillId="5" borderId="30" xfId="2" applyFont="1" applyFill="1" applyBorder="1" applyAlignment="1">
      <alignment horizontal="center" vertical="center"/>
    </xf>
    <xf numFmtId="0" fontId="6" fillId="5" borderId="37" xfId="0" applyNumberFormat="1" applyFont="1" applyFill="1" applyBorder="1" applyAlignment="1">
      <alignment horizontal="center" vertical="center" wrapText="1"/>
    </xf>
    <xf numFmtId="44" fontId="6" fillId="5" borderId="12" xfId="4" applyNumberFormat="1" applyFont="1" applyFill="1" applyBorder="1" applyAlignment="1">
      <alignment horizontal="center" vertical="center"/>
    </xf>
    <xf numFmtId="4" fontId="6" fillId="5" borderId="12" xfId="0" applyNumberFormat="1" applyFont="1" applyFill="1" applyBorder="1" applyAlignment="1">
      <alignment horizontal="center" vertical="center"/>
    </xf>
    <xf numFmtId="166" fontId="6" fillId="5" borderId="12" xfId="0" applyNumberFormat="1" applyFont="1" applyFill="1" applyBorder="1" applyAlignment="1">
      <alignment horizontal="right" vertical="center" indent="1"/>
    </xf>
    <xf numFmtId="4" fontId="6" fillId="5" borderId="12" xfId="0" applyNumberFormat="1" applyFont="1" applyFill="1" applyBorder="1" applyAlignment="1">
      <alignment horizontal="right" vertical="center" indent="1"/>
    </xf>
    <xf numFmtId="0" fontId="1" fillId="5" borderId="12" xfId="0" applyFont="1" applyFill="1" applyBorder="1"/>
    <xf numFmtId="10" fontId="5" fillId="5" borderId="12" xfId="0" applyNumberFormat="1" applyFont="1" applyFill="1" applyBorder="1" applyAlignment="1">
      <alignment horizontal="center" vertical="center"/>
    </xf>
    <xf numFmtId="164" fontId="5" fillId="5" borderId="12" xfId="2" applyFont="1" applyFill="1" applyBorder="1" applyAlignment="1">
      <alignment horizontal="center" vertical="center"/>
    </xf>
    <xf numFmtId="4" fontId="6" fillId="5" borderId="13" xfId="0" applyNumberFormat="1" applyFont="1" applyFill="1" applyBorder="1" applyAlignment="1">
      <alignment horizontal="center" vertical="center"/>
    </xf>
    <xf numFmtId="0" fontId="6" fillId="5" borderId="38" xfId="0" applyNumberFormat="1" applyFont="1" applyFill="1" applyBorder="1" applyAlignment="1">
      <alignment horizontal="center" vertical="center" wrapText="1"/>
    </xf>
    <xf numFmtId="4" fontId="6" fillId="5" borderId="16" xfId="0" applyNumberFormat="1" applyFont="1" applyFill="1" applyBorder="1" applyAlignment="1">
      <alignment horizontal="center" vertical="center"/>
    </xf>
    <xf numFmtId="166" fontId="6" fillId="5" borderId="16" xfId="0" applyNumberFormat="1" applyFont="1" applyFill="1" applyBorder="1" applyAlignment="1">
      <alignment horizontal="right" vertical="center" indent="1"/>
    </xf>
    <xf numFmtId="4" fontId="6" fillId="5" borderId="16" xfId="0" applyNumberFormat="1" applyFont="1" applyFill="1" applyBorder="1" applyAlignment="1">
      <alignment horizontal="right" vertical="center" indent="1"/>
    </xf>
    <xf numFmtId="0" fontId="5" fillId="5" borderId="16" xfId="0" applyFont="1" applyFill="1" applyBorder="1" applyAlignment="1">
      <alignment horizontal="center" vertical="center"/>
    </xf>
    <xf numFmtId="10" fontId="5" fillId="5" borderId="16" xfId="0" applyNumberFormat="1" applyFont="1" applyFill="1" applyBorder="1" applyAlignment="1">
      <alignment horizontal="center" vertical="center"/>
    </xf>
    <xf numFmtId="164" fontId="5" fillId="5" borderId="16" xfId="2" applyFont="1" applyFill="1" applyBorder="1" applyAlignment="1">
      <alignment horizontal="center" vertical="center"/>
    </xf>
    <xf numFmtId="4" fontId="6" fillId="5" borderId="17" xfId="0" applyNumberFormat="1" applyFont="1" applyFill="1" applyBorder="1" applyAlignment="1">
      <alignment horizontal="center" vertical="center"/>
    </xf>
    <xf numFmtId="44" fontId="6" fillId="5" borderId="30" xfId="4" applyFont="1" applyFill="1" applyBorder="1" applyAlignment="1">
      <alignment horizontal="center" vertical="center"/>
    </xf>
    <xf numFmtId="0" fontId="5" fillId="5" borderId="30" xfId="0" applyFont="1" applyFill="1" applyBorder="1" applyAlignment="1">
      <alignment horizontal="center" vertical="center"/>
    </xf>
    <xf numFmtId="0" fontId="6" fillId="4" borderId="37" xfId="0" applyNumberFormat="1" applyFont="1" applyFill="1" applyBorder="1" applyAlignment="1">
      <alignment horizontal="center" vertical="center" wrapText="1"/>
    </xf>
    <xf numFmtId="4" fontId="6" fillId="4" borderId="12" xfId="0" applyNumberFormat="1" applyFont="1" applyFill="1" applyBorder="1" applyAlignment="1">
      <alignment horizontal="center" vertical="center"/>
    </xf>
    <xf numFmtId="164" fontId="5" fillId="4" borderId="12" xfId="2" applyFont="1" applyFill="1" applyBorder="1" applyAlignment="1">
      <alignment horizontal="center" vertical="center"/>
    </xf>
    <xf numFmtId="0" fontId="6" fillId="4" borderId="38" xfId="0" applyNumberFormat="1" applyFont="1" applyFill="1" applyBorder="1" applyAlignment="1">
      <alignment horizontal="center" vertical="center" wrapText="1"/>
    </xf>
    <xf numFmtId="44" fontId="6" fillId="4" borderId="16" xfId="4" applyFont="1" applyFill="1" applyBorder="1" applyAlignment="1">
      <alignment horizontal="center" vertical="center"/>
    </xf>
    <xf numFmtId="4" fontId="6" fillId="4" borderId="16" xfId="0" applyNumberFormat="1" applyFont="1" applyFill="1" applyBorder="1" applyAlignment="1">
      <alignment horizontal="center" vertical="center"/>
    </xf>
    <xf numFmtId="166" fontId="6" fillId="4" borderId="16" xfId="0" applyNumberFormat="1" applyFont="1" applyFill="1" applyBorder="1" applyAlignment="1">
      <alignment horizontal="right" vertical="center" indent="1"/>
    </xf>
    <xf numFmtId="0" fontId="5" fillId="4" borderId="16" xfId="0" applyFont="1" applyFill="1" applyBorder="1" applyAlignment="1">
      <alignment horizontal="center" vertical="center"/>
    </xf>
    <xf numFmtId="164" fontId="5" fillId="4" borderId="16" xfId="2" applyFont="1" applyFill="1" applyBorder="1" applyAlignment="1">
      <alignment horizontal="center" vertical="center"/>
    </xf>
    <xf numFmtId="44" fontId="6" fillId="5" borderId="12" xfId="4" applyFont="1" applyFill="1" applyBorder="1" applyAlignment="1">
      <alignment horizontal="center" vertical="center"/>
    </xf>
    <xf numFmtId="0" fontId="5" fillId="5" borderId="12" xfId="0" applyFont="1" applyFill="1" applyBorder="1" applyAlignment="1">
      <alignment horizontal="center" vertical="center"/>
    </xf>
    <xf numFmtId="4" fontId="6" fillId="5" borderId="14" xfId="0" applyNumberFormat="1" applyFont="1" applyFill="1" applyBorder="1" applyAlignment="1">
      <alignment horizontal="center" vertical="center"/>
    </xf>
    <xf numFmtId="44" fontId="6" fillId="5" borderId="16" xfId="4" applyFont="1" applyFill="1" applyBorder="1" applyAlignment="1">
      <alignment horizontal="center" vertical="center"/>
    </xf>
    <xf numFmtId="0" fontId="6" fillId="5" borderId="36" xfId="0" applyNumberFormat="1" applyFont="1" applyFill="1" applyBorder="1" applyAlignment="1">
      <alignment horizontal="center" vertical="center" wrapText="1"/>
    </xf>
    <xf numFmtId="44" fontId="6" fillId="5" borderId="9" xfId="4" applyFont="1" applyFill="1" applyBorder="1" applyAlignment="1">
      <alignment horizontal="center" vertical="center"/>
    </xf>
    <xf numFmtId="4" fontId="6" fillId="5" borderId="9" xfId="0" applyNumberFormat="1" applyFont="1" applyFill="1" applyBorder="1" applyAlignment="1">
      <alignment horizontal="center" vertical="center"/>
    </xf>
    <xf numFmtId="4" fontId="6" fillId="5" borderId="10" xfId="0" applyNumberFormat="1" applyFont="1" applyFill="1" applyBorder="1" applyAlignment="1">
      <alignment horizontal="center" vertical="center"/>
    </xf>
    <xf numFmtId="0" fontId="6" fillId="4" borderId="36" xfId="0" applyNumberFormat="1" applyFont="1" applyFill="1" applyBorder="1" applyAlignment="1">
      <alignment horizontal="center" vertical="center" wrapText="1"/>
    </xf>
    <xf numFmtId="44" fontId="6" fillId="4" borderId="9" xfId="4" applyFont="1" applyFill="1" applyBorder="1" applyAlignment="1">
      <alignment horizontal="center" vertical="center"/>
    </xf>
    <xf numFmtId="4" fontId="6" fillId="4" borderId="9" xfId="0" applyNumberFormat="1" applyFont="1" applyFill="1" applyBorder="1" applyAlignment="1">
      <alignment horizontal="center" vertical="center"/>
    </xf>
    <xf numFmtId="166" fontId="6" fillId="4" borderId="9" xfId="0" applyNumberFormat="1" applyFont="1" applyFill="1" applyBorder="1" applyAlignment="1">
      <alignment horizontal="right" vertical="center" indent="1"/>
    </xf>
    <xf numFmtId="4" fontId="6" fillId="4" borderId="9" xfId="0" applyNumberFormat="1" applyFont="1" applyFill="1" applyBorder="1" applyAlignment="1">
      <alignment horizontal="right" vertical="center" indent="1"/>
    </xf>
    <xf numFmtId="0" fontId="5" fillId="4" borderId="9" xfId="0" applyFont="1" applyFill="1" applyBorder="1" applyAlignment="1">
      <alignment horizontal="center" vertical="center"/>
    </xf>
    <xf numFmtId="10" fontId="5" fillId="4" borderId="9" xfId="0" applyNumberFormat="1" applyFont="1" applyFill="1" applyBorder="1" applyAlignment="1">
      <alignment horizontal="center" vertical="center"/>
    </xf>
    <xf numFmtId="164" fontId="5" fillId="4" borderId="9" xfId="2" applyFont="1" applyFill="1" applyBorder="1" applyAlignment="1">
      <alignment horizontal="center" vertical="center"/>
    </xf>
    <xf numFmtId="4" fontId="6" fillId="4" borderId="10" xfId="0" applyNumberFormat="1" applyFont="1" applyFill="1" applyBorder="1" applyAlignment="1">
      <alignment horizontal="center" vertical="center"/>
    </xf>
    <xf numFmtId="166" fontId="6" fillId="4" borderId="19" xfId="0" applyNumberFormat="1" applyFont="1" applyFill="1" applyBorder="1" applyAlignment="1">
      <alignment horizontal="right" vertical="center" indent="1"/>
    </xf>
    <xf numFmtId="4" fontId="6" fillId="4" borderId="19" xfId="0" applyNumberFormat="1" applyFont="1" applyFill="1" applyBorder="1" applyAlignment="1">
      <alignment horizontal="right" vertical="center" indent="1"/>
    </xf>
    <xf numFmtId="0" fontId="5" fillId="4" borderId="19" xfId="0" applyFont="1" applyFill="1" applyBorder="1" applyAlignment="1">
      <alignment horizontal="center" vertical="center"/>
    </xf>
    <xf numFmtId="0" fontId="16" fillId="5" borderId="40" xfId="0" applyNumberFormat="1" applyFont="1" applyFill="1" applyBorder="1" applyAlignment="1">
      <alignment horizontal="right" vertical="top" wrapText="1"/>
    </xf>
    <xf numFmtId="164" fontId="5" fillId="0" borderId="3" xfId="2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44" fontId="6" fillId="5" borderId="9" xfId="4" applyFont="1" applyFill="1" applyBorder="1" applyAlignment="1">
      <alignment horizontal="left" vertical="center"/>
    </xf>
    <xf numFmtId="44" fontId="6" fillId="4" borderId="16" xfId="4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vertical="center" wrapText="1"/>
    </xf>
    <xf numFmtId="0" fontId="0" fillId="0" borderId="0" xfId="0" applyFill="1" applyAlignment="1">
      <alignment vertical="center" wrapText="1"/>
    </xf>
    <xf numFmtId="0" fontId="9" fillId="2" borderId="29" xfId="0" applyFont="1" applyFill="1" applyBorder="1" applyAlignment="1">
      <alignment horizontal="center" vertical="center" wrapText="1"/>
    </xf>
    <xf numFmtId="0" fontId="9" fillId="2" borderId="33" xfId="0" applyFont="1" applyFill="1" applyBorder="1" applyAlignment="1">
      <alignment horizontal="center" vertical="center" wrapText="1"/>
    </xf>
    <xf numFmtId="0" fontId="9" fillId="0" borderId="28" xfId="0" applyFont="1" applyFill="1" applyBorder="1" applyAlignment="1">
      <alignment horizontal="center" vertical="center" wrapText="1"/>
    </xf>
    <xf numFmtId="0" fontId="9" fillId="2" borderId="28" xfId="0" applyFont="1" applyFill="1" applyBorder="1" applyAlignment="1">
      <alignment horizontal="center" vertical="center" wrapText="1"/>
    </xf>
    <xf numFmtId="165" fontId="5" fillId="0" borderId="2" xfId="2" applyNumberFormat="1" applyFont="1" applyFill="1" applyBorder="1" applyAlignment="1">
      <alignment horizontal="center" vertical="center"/>
    </xf>
    <xf numFmtId="44" fontId="6" fillId="0" borderId="41" xfId="4" applyFont="1" applyFill="1" applyBorder="1" applyAlignment="1">
      <alignment horizontal="left" vertical="center"/>
    </xf>
    <xf numFmtId="0" fontId="6" fillId="5" borderId="8" xfId="0" applyNumberFormat="1" applyFont="1" applyFill="1" applyBorder="1" applyAlignment="1">
      <alignment horizontal="center" vertical="center" wrapText="1"/>
    </xf>
    <xf numFmtId="44" fontId="6" fillId="0" borderId="41" xfId="4" applyNumberFormat="1" applyFont="1" applyFill="1" applyBorder="1" applyAlignment="1">
      <alignment horizontal="center" vertical="center"/>
    </xf>
    <xf numFmtId="4" fontId="6" fillId="0" borderId="11" xfId="0" applyNumberFormat="1" applyFont="1" applyFill="1" applyBorder="1" applyAlignment="1">
      <alignment horizontal="center" vertical="center"/>
    </xf>
    <xf numFmtId="165" fontId="5" fillId="0" borderId="12" xfId="2" applyNumberFormat="1" applyFont="1" applyFill="1" applyBorder="1" applyAlignment="1">
      <alignment horizontal="center" vertical="center"/>
    </xf>
    <xf numFmtId="4" fontId="6" fillId="0" borderId="15" xfId="0" applyNumberFormat="1" applyFont="1" applyFill="1" applyBorder="1" applyAlignment="1">
      <alignment horizontal="center" vertical="center"/>
    </xf>
    <xf numFmtId="165" fontId="5" fillId="0" borderId="16" xfId="2" applyNumberFormat="1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165" fontId="5" fillId="5" borderId="2" xfId="2" applyNumberFormat="1" applyFont="1" applyFill="1" applyBorder="1" applyAlignment="1">
      <alignment horizontal="center" vertical="center"/>
    </xf>
    <xf numFmtId="4" fontId="6" fillId="5" borderId="11" xfId="0" applyNumberFormat="1" applyFont="1" applyFill="1" applyBorder="1" applyAlignment="1">
      <alignment horizontal="center" vertical="center"/>
    </xf>
    <xf numFmtId="165" fontId="5" fillId="5" borderId="12" xfId="2" applyNumberFormat="1" applyFont="1" applyFill="1" applyBorder="1" applyAlignment="1">
      <alignment horizontal="center" vertical="center"/>
    </xf>
    <xf numFmtId="164" fontId="5" fillId="5" borderId="13" xfId="2" applyFont="1" applyFill="1" applyBorder="1" applyAlignment="1">
      <alignment horizontal="center" vertical="center"/>
    </xf>
    <xf numFmtId="4" fontId="6" fillId="5" borderId="7" xfId="0" applyNumberFormat="1" applyFont="1" applyFill="1" applyBorder="1" applyAlignment="1">
      <alignment horizontal="center" vertical="center"/>
    </xf>
    <xf numFmtId="164" fontId="5" fillId="5" borderId="14" xfId="2" applyFont="1" applyFill="1" applyBorder="1" applyAlignment="1">
      <alignment horizontal="center" vertical="center"/>
    </xf>
    <xf numFmtId="4" fontId="6" fillId="5" borderId="15" xfId="0" applyNumberFormat="1" applyFont="1" applyFill="1" applyBorder="1" applyAlignment="1">
      <alignment horizontal="center" vertical="center"/>
    </xf>
    <xf numFmtId="165" fontId="5" fillId="5" borderId="16" xfId="2" applyNumberFormat="1" applyFont="1" applyFill="1" applyBorder="1" applyAlignment="1">
      <alignment horizontal="center" vertical="center"/>
    </xf>
    <xf numFmtId="164" fontId="5" fillId="5" borderId="17" xfId="2" applyFont="1" applyFill="1" applyBorder="1" applyAlignment="1">
      <alignment horizontal="center" vertical="center"/>
    </xf>
    <xf numFmtId="44" fontId="6" fillId="0" borderId="41" xfId="4" applyFont="1" applyFill="1" applyBorder="1" applyAlignment="1">
      <alignment horizontal="center" vertical="center"/>
    </xf>
    <xf numFmtId="4" fontId="6" fillId="0" borderId="7" xfId="0" applyNumberFormat="1" applyFont="1" applyFill="1" applyBorder="1" applyAlignment="1">
      <alignment horizontal="center" vertical="center"/>
    </xf>
    <xf numFmtId="44" fontId="6" fillId="0" borderId="42" xfId="4" applyFont="1" applyFill="1" applyBorder="1" applyAlignment="1">
      <alignment horizontal="center" vertical="center"/>
    </xf>
    <xf numFmtId="4" fontId="6" fillId="5" borderId="8" xfId="0" applyNumberFormat="1" applyFont="1" applyFill="1" applyBorder="1" applyAlignment="1">
      <alignment horizontal="center" vertical="center"/>
    </xf>
    <xf numFmtId="0" fontId="9" fillId="2" borderId="41" xfId="0" applyFont="1" applyFill="1" applyBorder="1" applyAlignment="1">
      <alignment horizontal="center" vertical="center" wrapText="1"/>
    </xf>
    <xf numFmtId="4" fontId="6" fillId="5" borderId="44" xfId="0" applyNumberFormat="1" applyFont="1" applyFill="1" applyBorder="1" applyAlignment="1">
      <alignment horizontal="center" vertical="center"/>
    </xf>
    <xf numFmtId="164" fontId="5" fillId="0" borderId="42" xfId="2" applyFont="1" applyFill="1" applyBorder="1" applyAlignment="1">
      <alignment horizontal="center" vertical="center"/>
    </xf>
    <xf numFmtId="164" fontId="5" fillId="0" borderId="45" xfId="2" applyFont="1" applyFill="1" applyBorder="1" applyAlignment="1">
      <alignment horizontal="center" vertical="center"/>
    </xf>
    <xf numFmtId="164" fontId="5" fillId="5" borderId="42" xfId="2" applyFont="1" applyFill="1" applyBorder="1" applyAlignment="1">
      <alignment horizontal="center" vertical="center"/>
    </xf>
    <xf numFmtId="164" fontId="5" fillId="5" borderId="43" xfId="2" applyFont="1" applyFill="1" applyBorder="1" applyAlignment="1">
      <alignment horizontal="center" vertical="center"/>
    </xf>
    <xf numFmtId="164" fontId="5" fillId="5" borderId="45" xfId="2" applyFont="1" applyFill="1" applyBorder="1" applyAlignment="1">
      <alignment horizontal="center" vertical="center"/>
    </xf>
    <xf numFmtId="164" fontId="5" fillId="0" borderId="43" xfId="2" applyFont="1" applyFill="1" applyBorder="1" applyAlignment="1">
      <alignment horizontal="center" vertical="center"/>
    </xf>
    <xf numFmtId="9" fontId="5" fillId="5" borderId="11" xfId="3" applyFont="1" applyFill="1" applyBorder="1" applyAlignment="1">
      <alignment horizontal="center" vertical="center"/>
    </xf>
    <xf numFmtId="9" fontId="5" fillId="5" borderId="7" xfId="3" applyFont="1" applyFill="1" applyBorder="1" applyAlignment="1">
      <alignment horizontal="center" vertical="center"/>
    </xf>
    <xf numFmtId="10" fontId="5" fillId="5" borderId="15" xfId="3" applyNumberFormat="1" applyFont="1" applyFill="1" applyBorder="1" applyAlignment="1">
      <alignment horizontal="center" vertical="center"/>
    </xf>
    <xf numFmtId="9" fontId="5" fillId="5" borderId="15" xfId="3" applyFont="1" applyFill="1" applyBorder="1" applyAlignment="1">
      <alignment horizontal="center" vertical="center"/>
    </xf>
    <xf numFmtId="10" fontId="5" fillId="5" borderId="11" xfId="3" applyNumberFormat="1" applyFont="1" applyFill="1" applyBorder="1" applyAlignment="1">
      <alignment horizontal="center" vertical="center"/>
    </xf>
    <xf numFmtId="10" fontId="5" fillId="5" borderId="7" xfId="3" applyNumberFormat="1" applyFont="1" applyFill="1" applyBorder="1" applyAlignment="1">
      <alignment horizontal="center" vertical="center"/>
    </xf>
    <xf numFmtId="9" fontId="5" fillId="4" borderId="15" xfId="3" applyFont="1" applyFill="1" applyBorder="1" applyAlignment="1">
      <alignment horizontal="center" vertical="center"/>
    </xf>
    <xf numFmtId="0" fontId="5" fillId="5" borderId="46" xfId="0" applyFont="1" applyFill="1" applyBorder="1" applyAlignment="1">
      <alignment horizontal="center" vertical="center"/>
    </xf>
    <xf numFmtId="10" fontId="5" fillId="5" borderId="46" xfId="0" applyNumberFormat="1" applyFont="1" applyFill="1" applyBorder="1" applyAlignment="1">
      <alignment horizontal="center" vertical="center"/>
    </xf>
    <xf numFmtId="164" fontId="5" fillId="5" borderId="24" xfId="2" applyFont="1" applyFill="1" applyBorder="1" applyAlignment="1">
      <alignment horizontal="center" vertical="center"/>
    </xf>
    <xf numFmtId="9" fontId="5" fillId="4" borderId="8" xfId="3" applyFont="1" applyFill="1" applyBorder="1" applyAlignment="1">
      <alignment horizontal="center" vertical="center"/>
    </xf>
    <xf numFmtId="164" fontId="5" fillId="4" borderId="10" xfId="2" applyFont="1" applyFill="1" applyBorder="1" applyAlignment="1">
      <alignment horizontal="center" vertical="center"/>
    </xf>
    <xf numFmtId="10" fontId="5" fillId="4" borderId="8" xfId="3" applyNumberFormat="1" applyFont="1" applyFill="1" applyBorder="1" applyAlignment="1">
      <alignment horizontal="center" vertical="center"/>
    </xf>
    <xf numFmtId="0" fontId="6" fillId="0" borderId="15" xfId="0" applyNumberFormat="1" applyFont="1" applyFill="1" applyBorder="1" applyAlignment="1">
      <alignment horizontal="center" vertical="center" wrapText="1"/>
    </xf>
    <xf numFmtId="10" fontId="5" fillId="4" borderId="18" xfId="3" applyNumberFormat="1" applyFont="1" applyFill="1" applyBorder="1" applyAlignment="1">
      <alignment horizontal="center" vertical="center"/>
    </xf>
    <xf numFmtId="164" fontId="5" fillId="4" borderId="48" xfId="2" applyFont="1" applyFill="1" applyBorder="1" applyAlignment="1">
      <alignment horizontal="center" vertical="center"/>
    </xf>
    <xf numFmtId="164" fontId="5" fillId="4" borderId="24" xfId="2" applyFont="1" applyFill="1" applyBorder="1" applyAlignment="1">
      <alignment horizontal="center" vertical="center"/>
    </xf>
    <xf numFmtId="166" fontId="6" fillId="0" borderId="12" xfId="0" applyNumberFormat="1" applyFont="1" applyFill="1" applyBorder="1" applyAlignment="1">
      <alignment horizontal="center" vertical="center"/>
    </xf>
    <xf numFmtId="4" fontId="6" fillId="0" borderId="12" xfId="0" applyNumberFormat="1" applyFont="1" applyFill="1" applyBorder="1" applyAlignment="1" applyProtection="1">
      <alignment horizontal="center" vertical="center"/>
      <protection locked="0"/>
    </xf>
    <xf numFmtId="4" fontId="6" fillId="0" borderId="12" xfId="0" applyNumberFormat="1" applyFont="1" applyFill="1" applyBorder="1" applyAlignment="1">
      <alignment horizontal="center" vertical="center"/>
    </xf>
    <xf numFmtId="166" fontId="6" fillId="4" borderId="16" xfId="0" applyNumberFormat="1" applyFont="1" applyFill="1" applyBorder="1" applyAlignment="1">
      <alignment horizontal="center" vertical="center"/>
    </xf>
    <xf numFmtId="4" fontId="6" fillId="4" borderId="16" xfId="0" applyNumberFormat="1" applyFont="1" applyFill="1" applyBorder="1" applyAlignment="1" applyProtection="1">
      <alignment horizontal="center" vertical="center"/>
      <protection locked="0"/>
    </xf>
    <xf numFmtId="166" fontId="6" fillId="5" borderId="12" xfId="0" applyNumberFormat="1" applyFont="1" applyFill="1" applyBorder="1" applyAlignment="1">
      <alignment horizontal="center" vertical="center"/>
    </xf>
    <xf numFmtId="4" fontId="6" fillId="5" borderId="12" xfId="0" applyNumberFormat="1" applyFont="1" applyFill="1" applyBorder="1" applyAlignment="1" applyProtection="1">
      <alignment horizontal="center" vertical="center"/>
      <protection locked="0"/>
    </xf>
    <xf numFmtId="166" fontId="6" fillId="4" borderId="2" xfId="0" applyNumberFormat="1" applyFont="1" applyFill="1" applyBorder="1" applyAlignment="1">
      <alignment horizontal="center" vertical="center"/>
    </xf>
    <xf numFmtId="4" fontId="6" fillId="4" borderId="2" xfId="0" applyNumberFormat="1" applyFont="1" applyFill="1" applyBorder="1" applyAlignment="1" applyProtection="1">
      <alignment horizontal="center" vertical="center"/>
      <protection locked="0"/>
    </xf>
    <xf numFmtId="166" fontId="6" fillId="5" borderId="16" xfId="0" applyNumberFormat="1" applyFont="1" applyFill="1" applyBorder="1" applyAlignment="1">
      <alignment horizontal="center" vertical="center"/>
    </xf>
    <xf numFmtId="4" fontId="6" fillId="5" borderId="16" xfId="0" applyNumberFormat="1" applyFont="1" applyFill="1" applyBorder="1" applyAlignment="1" applyProtection="1">
      <alignment horizontal="center" vertical="center"/>
      <protection locked="0"/>
    </xf>
    <xf numFmtId="4" fontId="6" fillId="5" borderId="46" xfId="0" applyNumberFormat="1" applyFont="1" applyFill="1" applyBorder="1" applyAlignment="1">
      <alignment horizontal="center" vertical="center"/>
    </xf>
    <xf numFmtId="166" fontId="6" fillId="4" borderId="12" xfId="0" applyNumberFormat="1" applyFont="1" applyFill="1" applyBorder="1" applyAlignment="1">
      <alignment horizontal="center" vertical="center"/>
    </xf>
    <xf numFmtId="4" fontId="6" fillId="4" borderId="12" xfId="0" applyNumberFormat="1" applyFont="1" applyFill="1" applyBorder="1" applyAlignment="1" applyProtection="1">
      <alignment horizontal="center" vertical="center"/>
      <protection locked="0"/>
    </xf>
    <xf numFmtId="166" fontId="6" fillId="0" borderId="2" xfId="0" applyNumberFormat="1" applyFont="1" applyFill="1" applyBorder="1" applyAlignment="1">
      <alignment horizontal="center" vertical="center"/>
    </xf>
    <xf numFmtId="4" fontId="6" fillId="0" borderId="2" xfId="0" applyNumberFormat="1" applyFont="1" applyFill="1" applyBorder="1" applyAlignment="1" applyProtection="1">
      <alignment horizontal="center" vertical="center"/>
      <protection locked="0"/>
    </xf>
    <xf numFmtId="4" fontId="6" fillId="0" borderId="2" xfId="0" applyNumberFormat="1" applyFont="1" applyFill="1" applyBorder="1" applyAlignment="1">
      <alignment horizontal="center" vertical="center"/>
    </xf>
    <xf numFmtId="166" fontId="6" fillId="0" borderId="16" xfId="0" applyNumberFormat="1" applyFont="1" applyFill="1" applyBorder="1" applyAlignment="1">
      <alignment horizontal="center" vertical="center"/>
    </xf>
    <xf numFmtId="4" fontId="6" fillId="0" borderId="16" xfId="0" applyNumberFormat="1" applyFont="1" applyFill="1" applyBorder="1" applyAlignment="1" applyProtection="1">
      <alignment horizontal="center" vertical="center"/>
      <protection locked="0"/>
    </xf>
    <xf numFmtId="4" fontId="6" fillId="0" borderId="16" xfId="0" applyNumberFormat="1" applyFont="1" applyFill="1" applyBorder="1" applyAlignment="1">
      <alignment horizontal="center" vertical="center"/>
    </xf>
    <xf numFmtId="4" fontId="6" fillId="5" borderId="12" xfId="0" applyNumberFormat="1" applyFont="1" applyFill="1" applyBorder="1" applyAlignment="1" applyProtection="1">
      <alignment horizontal="center" vertical="center"/>
    </xf>
    <xf numFmtId="166" fontId="6" fillId="4" borderId="9" xfId="0" applyNumberFormat="1" applyFont="1" applyFill="1" applyBorder="1" applyAlignment="1">
      <alignment horizontal="center" vertical="center"/>
    </xf>
    <xf numFmtId="4" fontId="6" fillId="4" borderId="9" xfId="0" applyNumberFormat="1" applyFont="1" applyFill="1" applyBorder="1" applyAlignment="1" applyProtection="1">
      <alignment horizontal="center" vertical="center"/>
      <protection locked="0"/>
    </xf>
    <xf numFmtId="166" fontId="6" fillId="5" borderId="2" xfId="0" applyNumberFormat="1" applyFont="1" applyFill="1" applyBorder="1" applyAlignment="1">
      <alignment horizontal="center" vertical="center"/>
    </xf>
    <xf numFmtId="4" fontId="6" fillId="5" borderId="2" xfId="0" applyNumberFormat="1" applyFont="1" applyFill="1" applyBorder="1" applyAlignment="1" applyProtection="1">
      <alignment horizontal="center" vertical="center"/>
      <protection locked="0"/>
    </xf>
    <xf numFmtId="166" fontId="6" fillId="4" borderId="19" xfId="0" applyNumberFormat="1" applyFont="1" applyFill="1" applyBorder="1" applyAlignment="1">
      <alignment horizontal="center" vertical="center"/>
    </xf>
    <xf numFmtId="4" fontId="6" fillId="4" borderId="19" xfId="0" applyNumberFormat="1" applyFont="1" applyFill="1" applyBorder="1" applyAlignment="1" applyProtection="1">
      <alignment horizontal="center" vertical="center"/>
      <protection locked="0"/>
    </xf>
    <xf numFmtId="4" fontId="6" fillId="4" borderId="19" xfId="0" applyNumberFormat="1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5" borderId="1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44" fontId="6" fillId="0" borderId="2" xfId="4" applyFont="1" applyFill="1" applyBorder="1" applyAlignment="1">
      <alignment horizontal="center" vertical="center"/>
    </xf>
    <xf numFmtId="44" fontId="6" fillId="0" borderId="16" xfId="4" applyFont="1" applyFill="1" applyBorder="1" applyAlignment="1">
      <alignment horizontal="center" vertical="center"/>
    </xf>
    <xf numFmtId="0" fontId="22" fillId="0" borderId="8" xfId="0" applyNumberFormat="1" applyFont="1" applyFill="1" applyBorder="1" applyAlignment="1">
      <alignment horizontal="center" vertical="center" wrapText="1"/>
    </xf>
    <xf numFmtId="0" fontId="22" fillId="0" borderId="11" xfId="0" applyNumberFormat="1" applyFont="1" applyFill="1" applyBorder="1" applyAlignment="1">
      <alignment horizontal="center" vertical="center" wrapText="1"/>
    </xf>
    <xf numFmtId="0" fontId="9" fillId="4" borderId="7" xfId="0" applyNumberFormat="1" applyFont="1" applyFill="1" applyBorder="1" applyAlignment="1">
      <alignment horizontal="center" vertical="center" wrapText="1"/>
    </xf>
    <xf numFmtId="44" fontId="9" fillId="4" borderId="41" xfId="4" applyFont="1" applyFill="1" applyBorder="1" applyAlignment="1">
      <alignment horizontal="center" vertical="center"/>
    </xf>
    <xf numFmtId="4" fontId="9" fillId="4" borderId="7" xfId="0" applyNumberFormat="1" applyFont="1" applyFill="1" applyBorder="1" applyAlignment="1">
      <alignment horizontal="center" vertical="center"/>
    </xf>
    <xf numFmtId="166" fontId="9" fillId="4" borderId="2" xfId="0" applyNumberFormat="1" applyFont="1" applyFill="1" applyBorder="1" applyAlignment="1">
      <alignment horizontal="center" vertical="center"/>
    </xf>
    <xf numFmtId="4" fontId="9" fillId="4" borderId="2" xfId="0" applyNumberFormat="1" applyFont="1" applyFill="1" applyBorder="1" applyAlignment="1" applyProtection="1">
      <alignment horizontal="center" vertical="center"/>
      <protection locked="0"/>
    </xf>
    <xf numFmtId="4" fontId="9" fillId="4" borderId="2" xfId="0" applyNumberFormat="1" applyFont="1" applyFill="1" applyBorder="1" applyAlignment="1">
      <alignment horizontal="center" vertical="center"/>
    </xf>
    <xf numFmtId="165" fontId="23" fillId="4" borderId="2" xfId="2" applyNumberFormat="1" applyFont="1" applyFill="1" applyBorder="1" applyAlignment="1">
      <alignment horizontal="center" vertical="center"/>
    </xf>
    <xf numFmtId="10" fontId="23" fillId="4" borderId="2" xfId="0" applyNumberFormat="1" applyFont="1" applyFill="1" applyBorder="1" applyAlignment="1">
      <alignment horizontal="center" vertical="center"/>
    </xf>
    <xf numFmtId="164" fontId="23" fillId="4" borderId="43" xfId="2" applyFont="1" applyFill="1" applyBorder="1" applyAlignment="1">
      <alignment horizontal="center" vertical="center"/>
    </xf>
    <xf numFmtId="4" fontId="9" fillId="4" borderId="15" xfId="0" applyNumberFormat="1" applyFont="1" applyFill="1" applyBorder="1" applyAlignment="1">
      <alignment horizontal="center" vertical="center"/>
    </xf>
    <xf numFmtId="166" fontId="9" fillId="4" borderId="16" xfId="0" applyNumberFormat="1" applyFont="1" applyFill="1" applyBorder="1" applyAlignment="1">
      <alignment horizontal="center" vertical="center"/>
    </xf>
    <xf numFmtId="4" fontId="9" fillId="4" borderId="16" xfId="0" applyNumberFormat="1" applyFont="1" applyFill="1" applyBorder="1" applyAlignment="1" applyProtection="1">
      <alignment horizontal="center" vertical="center"/>
      <protection locked="0"/>
    </xf>
    <xf numFmtId="4" fontId="9" fillId="4" borderId="16" xfId="0" applyNumberFormat="1" applyFont="1" applyFill="1" applyBorder="1" applyAlignment="1">
      <alignment horizontal="center" vertical="center"/>
    </xf>
    <xf numFmtId="165" fontId="23" fillId="4" borderId="16" xfId="2" applyNumberFormat="1" applyFont="1" applyFill="1" applyBorder="1" applyAlignment="1">
      <alignment horizontal="center" vertical="center"/>
    </xf>
    <xf numFmtId="10" fontId="23" fillId="4" borderId="16" xfId="0" applyNumberFormat="1" applyFont="1" applyFill="1" applyBorder="1" applyAlignment="1">
      <alignment horizontal="center" vertical="center"/>
    </xf>
    <xf numFmtId="164" fontId="23" fillId="4" borderId="45" xfId="2" applyFont="1" applyFill="1" applyBorder="1" applyAlignment="1">
      <alignment horizontal="center" vertical="center"/>
    </xf>
    <xf numFmtId="44" fontId="9" fillId="4" borderId="41" xfId="4" applyNumberFormat="1" applyFont="1" applyFill="1" applyBorder="1" applyAlignment="1">
      <alignment horizontal="center" vertical="center"/>
    </xf>
    <xf numFmtId="0" fontId="9" fillId="4" borderId="11" xfId="0" applyNumberFormat="1" applyFont="1" applyFill="1" applyBorder="1" applyAlignment="1">
      <alignment horizontal="center" vertical="center" wrapText="1"/>
    </xf>
    <xf numFmtId="4" fontId="9" fillId="4" borderId="11" xfId="0" applyNumberFormat="1" applyFont="1" applyFill="1" applyBorder="1" applyAlignment="1">
      <alignment horizontal="center" vertical="center"/>
    </xf>
    <xf numFmtId="166" fontId="9" fillId="4" borderId="12" xfId="0" applyNumberFormat="1" applyFont="1" applyFill="1" applyBorder="1" applyAlignment="1">
      <alignment horizontal="center" vertical="center"/>
    </xf>
    <xf numFmtId="4" fontId="9" fillId="4" borderId="12" xfId="0" applyNumberFormat="1" applyFont="1" applyFill="1" applyBorder="1" applyAlignment="1" applyProtection="1">
      <alignment horizontal="center" vertical="center"/>
      <protection locked="0"/>
    </xf>
    <xf numFmtId="4" fontId="9" fillId="4" borderId="12" xfId="0" applyNumberFormat="1" applyFont="1" applyFill="1" applyBorder="1" applyAlignment="1">
      <alignment horizontal="center" vertical="center"/>
    </xf>
    <xf numFmtId="165" fontId="23" fillId="4" borderId="12" xfId="2" applyNumberFormat="1" applyFont="1" applyFill="1" applyBorder="1" applyAlignment="1">
      <alignment horizontal="center" vertical="center"/>
    </xf>
    <xf numFmtId="10" fontId="23" fillId="4" borderId="12" xfId="0" applyNumberFormat="1" applyFont="1" applyFill="1" applyBorder="1" applyAlignment="1">
      <alignment horizontal="center" vertical="center"/>
    </xf>
    <xf numFmtId="164" fontId="23" fillId="4" borderId="42" xfId="2" applyFont="1" applyFill="1" applyBorder="1" applyAlignment="1">
      <alignment horizontal="center" vertical="center"/>
    </xf>
    <xf numFmtId="4" fontId="9" fillId="4" borderId="8" xfId="0" applyNumberFormat="1" applyFont="1" applyFill="1" applyBorder="1" applyAlignment="1">
      <alignment horizontal="center" vertical="center"/>
    </xf>
    <xf numFmtId="44" fontId="9" fillId="4" borderId="8" xfId="4" applyFont="1" applyFill="1" applyBorder="1" applyAlignment="1">
      <alignment horizontal="right" vertical="center"/>
    </xf>
    <xf numFmtId="166" fontId="9" fillId="4" borderId="9" xfId="0" applyNumberFormat="1" applyFont="1" applyFill="1" applyBorder="1" applyAlignment="1">
      <alignment horizontal="center" vertical="center"/>
    </xf>
    <xf numFmtId="4" fontId="9" fillId="4" borderId="9" xfId="0" applyNumberFormat="1" applyFont="1" applyFill="1" applyBorder="1" applyAlignment="1" applyProtection="1">
      <alignment horizontal="center" vertical="center"/>
      <protection locked="0"/>
    </xf>
    <xf numFmtId="4" fontId="9" fillId="4" borderId="9" xfId="0" applyNumberFormat="1" applyFont="1" applyFill="1" applyBorder="1" applyAlignment="1">
      <alignment horizontal="center" vertical="center"/>
    </xf>
    <xf numFmtId="165" fontId="23" fillId="4" borderId="9" xfId="2" applyNumberFormat="1" applyFont="1" applyFill="1" applyBorder="1" applyAlignment="1">
      <alignment horizontal="center" vertical="center"/>
    </xf>
    <xf numFmtId="10" fontId="23" fillId="4" borderId="9" xfId="0" applyNumberFormat="1" applyFont="1" applyFill="1" applyBorder="1" applyAlignment="1">
      <alignment horizontal="center" vertical="center"/>
    </xf>
    <xf numFmtId="164" fontId="23" fillId="4" borderId="44" xfId="2" applyFont="1" applyFill="1" applyBorder="1" applyAlignment="1">
      <alignment horizontal="center" vertical="center"/>
    </xf>
    <xf numFmtId="44" fontId="9" fillId="4" borderId="42" xfId="4" applyFont="1" applyFill="1" applyBorder="1" applyAlignment="1">
      <alignment horizontal="center" vertical="center"/>
    </xf>
    <xf numFmtId="0" fontId="9" fillId="4" borderId="8" xfId="0" applyNumberFormat="1" applyFont="1" applyFill="1" applyBorder="1" applyAlignment="1">
      <alignment horizontal="center" vertical="center" wrapText="1"/>
    </xf>
    <xf numFmtId="0" fontId="9" fillId="4" borderId="27" xfId="0" applyNumberFormat="1" applyFont="1" applyFill="1" applyBorder="1" applyAlignment="1">
      <alignment horizontal="center" vertical="center" wrapText="1"/>
    </xf>
    <xf numFmtId="0" fontId="9" fillId="4" borderId="33" xfId="0" applyNumberFormat="1" applyFont="1" applyFill="1" applyBorder="1" applyAlignment="1">
      <alignment horizontal="center" vertical="center" wrapText="1"/>
    </xf>
    <xf numFmtId="4" fontId="9" fillId="4" borderId="18" xfId="0" applyNumberFormat="1" applyFont="1" applyFill="1" applyBorder="1" applyAlignment="1">
      <alignment horizontal="center" vertical="center"/>
    </xf>
    <xf numFmtId="166" fontId="9" fillId="4" borderId="19" xfId="0" applyNumberFormat="1" applyFont="1" applyFill="1" applyBorder="1" applyAlignment="1">
      <alignment horizontal="center" vertical="center"/>
    </xf>
    <xf numFmtId="4" fontId="9" fillId="4" borderId="19" xfId="0" applyNumberFormat="1" applyFont="1" applyFill="1" applyBorder="1" applyAlignment="1" applyProtection="1">
      <alignment horizontal="center" vertical="center"/>
      <protection locked="0"/>
    </xf>
    <xf numFmtId="4" fontId="9" fillId="4" borderId="19" xfId="0" applyNumberFormat="1" applyFont="1" applyFill="1" applyBorder="1" applyAlignment="1">
      <alignment horizontal="center" vertical="center"/>
    </xf>
    <xf numFmtId="165" fontId="23" fillId="4" borderId="19" xfId="2" applyNumberFormat="1" applyFont="1" applyFill="1" applyBorder="1" applyAlignment="1">
      <alignment horizontal="center" vertical="center"/>
    </xf>
    <xf numFmtId="10" fontId="23" fillId="4" borderId="19" xfId="0" applyNumberFormat="1" applyFont="1" applyFill="1" applyBorder="1" applyAlignment="1">
      <alignment horizontal="center" vertical="center"/>
    </xf>
    <xf numFmtId="164" fontId="23" fillId="4" borderId="47" xfId="2" applyFont="1" applyFill="1" applyBorder="1" applyAlignment="1">
      <alignment horizontal="center" vertical="center"/>
    </xf>
    <xf numFmtId="44" fontId="9" fillId="4" borderId="12" xfId="4" applyFont="1" applyFill="1" applyBorder="1" applyAlignment="1">
      <alignment horizontal="center" vertical="center"/>
    </xf>
    <xf numFmtId="4" fontId="9" fillId="4" borderId="8" xfId="0" applyNumberFormat="1" applyFont="1" applyFill="1" applyBorder="1" applyAlignment="1">
      <alignment horizontal="center" vertical="center" wrapText="1"/>
    </xf>
    <xf numFmtId="4" fontId="24" fillId="0" borderId="0" xfId="0" applyNumberFormat="1" applyFont="1" applyAlignment="1">
      <alignment horizontal="center" vertical="center"/>
    </xf>
    <xf numFmtId="0" fontId="6" fillId="4" borderId="35" xfId="0" applyNumberFormat="1" applyFont="1" applyFill="1" applyBorder="1" applyAlignment="1">
      <alignment horizontal="center" vertical="center" wrapText="1"/>
    </xf>
    <xf numFmtId="44" fontId="6" fillId="4" borderId="19" xfId="4" applyFont="1" applyFill="1" applyBorder="1" applyAlignment="1">
      <alignment horizontal="center" vertical="center"/>
    </xf>
    <xf numFmtId="164" fontId="5" fillId="4" borderId="19" xfId="2" applyFont="1" applyFill="1" applyBorder="1" applyAlignment="1">
      <alignment horizontal="center" vertical="center"/>
    </xf>
    <xf numFmtId="0" fontId="0" fillId="0" borderId="0" xfId="0" applyAlignment="1">
      <alignment horizontal="right"/>
    </xf>
    <xf numFmtId="0" fontId="0" fillId="0" borderId="0" xfId="0" applyFill="1" applyAlignment="1">
      <alignment horizontal="right" vertical="center" wrapText="1"/>
    </xf>
    <xf numFmtId="0" fontId="9" fillId="3" borderId="39" xfId="0" applyFont="1" applyFill="1" applyBorder="1" applyAlignment="1">
      <alignment horizontal="left" vertical="center" wrapText="1"/>
    </xf>
    <xf numFmtId="0" fontId="9" fillId="3" borderId="25" xfId="0" applyFont="1" applyFill="1" applyBorder="1" applyAlignment="1">
      <alignment horizontal="left" vertical="center" wrapText="1"/>
    </xf>
    <xf numFmtId="0" fontId="9" fillId="3" borderId="26" xfId="0" applyFont="1" applyFill="1" applyBorder="1" applyAlignment="1">
      <alignment horizontal="left" vertical="center" wrapText="1"/>
    </xf>
    <xf numFmtId="0" fontId="9" fillId="3" borderId="5" xfId="0" applyFont="1" applyFill="1" applyBorder="1" applyAlignment="1">
      <alignment vertical="center" wrapText="1"/>
    </xf>
    <xf numFmtId="0" fontId="9" fillId="3" borderId="3" xfId="0" applyFont="1" applyFill="1" applyBorder="1" applyAlignment="1">
      <alignment vertical="center" wrapText="1"/>
    </xf>
    <xf numFmtId="0" fontId="9" fillId="3" borderId="5" xfId="0" applyFont="1" applyFill="1" applyBorder="1" applyAlignment="1">
      <alignment horizontal="left" vertical="center" wrapText="1"/>
    </xf>
    <xf numFmtId="0" fontId="9" fillId="3" borderId="3" xfId="0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left" vertical="center" wrapText="1"/>
    </xf>
    <xf numFmtId="9" fontId="18" fillId="0" borderId="4" xfId="3" applyFont="1" applyFill="1" applyBorder="1" applyAlignment="1">
      <alignment horizontal="center" vertical="center"/>
    </xf>
    <xf numFmtId="9" fontId="18" fillId="0" borderId="21" xfId="3" applyFont="1" applyFill="1" applyBorder="1" applyAlignment="1">
      <alignment horizontal="center" vertical="center"/>
    </xf>
    <xf numFmtId="9" fontId="18" fillId="0" borderId="22" xfId="3" applyFont="1" applyFill="1" applyBorder="1" applyAlignment="1">
      <alignment horizontal="center" vertical="center"/>
    </xf>
    <xf numFmtId="0" fontId="19" fillId="5" borderId="0" xfId="0" applyFont="1" applyFill="1" applyAlignment="1">
      <alignment horizontal="center"/>
    </xf>
    <xf numFmtId="0" fontId="3" fillId="0" borderId="0" xfId="0" applyFont="1" applyFill="1" applyBorder="1" applyAlignment="1">
      <alignment horizontal="left" vertical="top" wrapText="1"/>
    </xf>
    <xf numFmtId="165" fontId="18" fillId="0" borderId="4" xfId="2" applyNumberFormat="1" applyFont="1" applyFill="1" applyBorder="1" applyAlignment="1">
      <alignment horizontal="center" vertical="center"/>
    </xf>
    <xf numFmtId="165" fontId="18" fillId="0" borderId="21" xfId="2" applyNumberFormat="1" applyFont="1" applyFill="1" applyBorder="1" applyAlignment="1">
      <alignment horizontal="center" vertical="center"/>
    </xf>
    <xf numFmtId="0" fontId="14" fillId="0" borderId="0" xfId="0" applyFont="1" applyFill="1" applyBorder="1" applyAlignment="1" applyProtection="1">
      <alignment horizontal="center" vertical="center" wrapText="1"/>
      <protection locked="0"/>
    </xf>
    <xf numFmtId="0" fontId="14" fillId="0" borderId="0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left" vertical="center" wrapText="1"/>
    </xf>
    <xf numFmtId="0" fontId="9" fillId="3" borderId="31" xfId="0" applyFont="1" applyFill="1" applyBorder="1" applyAlignment="1">
      <alignment horizontal="left" vertical="center" wrapText="1"/>
    </xf>
    <xf numFmtId="0" fontId="9" fillId="3" borderId="43" xfId="0" applyFont="1" applyFill="1" applyBorder="1" applyAlignment="1">
      <alignment horizontal="left" vertical="center" wrapText="1"/>
    </xf>
    <xf numFmtId="4" fontId="0" fillId="0" borderId="0" xfId="0" applyNumberFormat="1" applyFill="1" applyAlignment="1">
      <alignment horizontal="right" vertical="center"/>
    </xf>
    <xf numFmtId="0" fontId="0" fillId="0" borderId="0" xfId="0" applyFill="1" applyAlignment="1">
      <alignment horizontal="right"/>
    </xf>
  </cellXfs>
  <cellStyles count="5">
    <cellStyle name="Millares" xfId="2" builtinId="3"/>
    <cellStyle name="Millares 2" xfId="1" xr:uid="{00000000-0005-0000-0000-000001000000}"/>
    <cellStyle name="Moneda" xfId="4" builtinId="4"/>
    <cellStyle name="Normal" xfId="0" builtinId="0"/>
    <cellStyle name="Porcentaje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1089660</xdr:colOff>
      <xdr:row>0</xdr:row>
      <xdr:rowOff>556260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0" y="0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249555</xdr:colOff>
      <xdr:row>1</xdr:row>
      <xdr:rowOff>28575</xdr:rowOff>
    </xdr:from>
    <xdr:to>
      <xdr:col>0</xdr:col>
      <xdr:colOff>1339215</xdr:colOff>
      <xdr:row>1</xdr:row>
      <xdr:rowOff>584835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249555" y="28575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53"/>
  <sheetViews>
    <sheetView tabSelected="1" zoomScale="70" zoomScaleNormal="70"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S10" sqref="S10"/>
    </sheetView>
  </sheetViews>
  <sheetFormatPr baseColWidth="10" defaultRowHeight="12.75" x14ac:dyDescent="0.2"/>
  <cols>
    <col min="1" max="1" width="38" customWidth="1"/>
    <col min="2" max="2" width="29.7109375" customWidth="1"/>
    <col min="3" max="3" width="29.5703125" customWidth="1"/>
    <col min="4" max="4" width="21.140625" customWidth="1"/>
    <col min="5" max="5" width="18.85546875" bestFit="1" customWidth="1"/>
    <col min="6" max="10" width="16.7109375" customWidth="1"/>
    <col min="11" max="11" width="16.140625" customWidth="1"/>
    <col min="14" max="14" width="11.42578125" style="285"/>
  </cols>
  <sheetData>
    <row r="1" spans="1:14" ht="48" customHeight="1" x14ac:dyDescent="0.2">
      <c r="A1" s="40"/>
      <c r="B1" s="40"/>
      <c r="C1" s="40"/>
      <c r="D1" s="40"/>
      <c r="E1" s="40"/>
      <c r="F1" s="40"/>
      <c r="G1" s="40"/>
      <c r="H1" s="40"/>
      <c r="I1" s="40"/>
      <c r="J1" s="40"/>
      <c r="K1" s="40"/>
    </row>
    <row r="2" spans="1:14" ht="18" x14ac:dyDescent="0.25">
      <c r="A2" s="298" t="str">
        <f>valoración!A3</f>
        <v>PROPUESTA DE ADJUDICACIÓN DEL EXPEDIENTE S-02369-2023</v>
      </c>
      <c r="B2" s="298"/>
      <c r="C2" s="298"/>
      <c r="D2" s="298"/>
      <c r="E2" s="298"/>
      <c r="F2" s="298"/>
      <c r="G2" s="298"/>
      <c r="H2" s="298"/>
      <c r="I2" s="298"/>
      <c r="J2" s="298"/>
      <c r="K2" s="40"/>
    </row>
    <row r="3" spans="1:14" ht="18" x14ac:dyDescent="0.25">
      <c r="A3" s="298" t="str">
        <f>valoración!A4</f>
        <v>Servicio de limpieza e higienización en los centros de CRTVE</v>
      </c>
      <c r="B3" s="298"/>
      <c r="C3" s="298"/>
      <c r="D3" s="298"/>
      <c r="E3" s="298"/>
      <c r="F3" s="298"/>
      <c r="G3" s="298"/>
      <c r="H3" s="298"/>
      <c r="I3" s="298"/>
      <c r="J3" s="298"/>
      <c r="K3" s="40"/>
    </row>
    <row r="4" spans="1:14" ht="18" x14ac:dyDescent="0.25">
      <c r="A4" s="298" t="str">
        <f>valoración!A5</f>
        <v>RESUMEN PUNTUACIÓN TÉCNICA Y ECONÓMICA</v>
      </c>
      <c r="B4" s="298"/>
      <c r="C4" s="298"/>
      <c r="D4" s="298"/>
      <c r="E4" s="298"/>
      <c r="F4" s="298"/>
      <c r="G4" s="298"/>
      <c r="H4" s="298"/>
      <c r="I4" s="298"/>
      <c r="J4" s="298"/>
      <c r="K4" s="40"/>
    </row>
    <row r="5" spans="1:14" x14ac:dyDescent="0.2">
      <c r="A5" s="40"/>
      <c r="B5" s="40"/>
      <c r="C5" s="40"/>
      <c r="D5" s="40"/>
      <c r="E5" s="40"/>
      <c r="F5" s="40"/>
      <c r="G5" s="40"/>
      <c r="H5" s="40"/>
      <c r="I5" s="40"/>
      <c r="J5" s="40"/>
      <c r="K5" s="40"/>
    </row>
    <row r="6" spans="1:14" ht="13.5" thickBot="1" x14ac:dyDescent="0.25">
      <c r="A6" s="40"/>
      <c r="B6" s="40"/>
      <c r="C6" s="40"/>
      <c r="D6" s="40"/>
      <c r="E6" s="40"/>
      <c r="F6" s="40"/>
      <c r="G6" s="40"/>
      <c r="H6" s="40"/>
      <c r="I6" s="40"/>
      <c r="J6" s="40"/>
      <c r="K6" s="40"/>
    </row>
    <row r="7" spans="1:14" ht="30.75" customHeight="1" thickBot="1" x14ac:dyDescent="0.25">
      <c r="A7" s="40"/>
      <c r="B7" s="40"/>
      <c r="C7" s="40"/>
      <c r="D7" s="40"/>
      <c r="E7" s="295" t="s">
        <v>15</v>
      </c>
      <c r="F7" s="296"/>
      <c r="G7" s="296"/>
      <c r="H7" s="296"/>
      <c r="I7" s="296"/>
      <c r="J7" s="297"/>
      <c r="K7" s="40"/>
    </row>
    <row r="8" spans="1:14" ht="60.75" thickBot="1" x14ac:dyDescent="0.25">
      <c r="A8" s="15" t="s">
        <v>4</v>
      </c>
      <c r="B8" s="87" t="s">
        <v>5</v>
      </c>
      <c r="C8" s="87" t="s">
        <v>6</v>
      </c>
      <c r="D8" s="87" t="s">
        <v>0</v>
      </c>
      <c r="E8" s="87" t="s">
        <v>20</v>
      </c>
      <c r="F8" s="87" t="s">
        <v>1</v>
      </c>
      <c r="G8" s="87" t="s">
        <v>17</v>
      </c>
      <c r="H8" s="87" t="s">
        <v>10</v>
      </c>
      <c r="I8" s="87" t="s">
        <v>11</v>
      </c>
      <c r="J8" s="87" t="s">
        <v>12</v>
      </c>
      <c r="K8" s="87" t="s">
        <v>22</v>
      </c>
      <c r="N8" s="308"/>
    </row>
    <row r="9" spans="1:14" ht="35.1" customHeight="1" thickBot="1" x14ac:dyDescent="0.25">
      <c r="A9" s="45" t="s">
        <v>43</v>
      </c>
      <c r="B9" s="126" t="s">
        <v>44</v>
      </c>
      <c r="C9" s="145">
        <v>639547.43999999994</v>
      </c>
      <c r="D9" s="128" t="s">
        <v>62</v>
      </c>
      <c r="E9" s="128" t="s">
        <v>62</v>
      </c>
      <c r="F9" s="128" t="s">
        <v>62</v>
      </c>
      <c r="G9" s="128" t="s">
        <v>62</v>
      </c>
      <c r="H9" s="128" t="s">
        <v>62</v>
      </c>
      <c r="I9" s="128" t="s">
        <v>62</v>
      </c>
      <c r="J9" s="128" t="s">
        <v>62</v>
      </c>
      <c r="K9" s="129" t="s">
        <v>62</v>
      </c>
      <c r="L9" s="147"/>
      <c r="M9" s="148"/>
      <c r="N9" s="286"/>
    </row>
    <row r="10" spans="1:14" ht="34.5" customHeight="1" x14ac:dyDescent="0.2">
      <c r="A10" s="18" t="s">
        <v>23</v>
      </c>
      <c r="B10" s="94" t="s">
        <v>39</v>
      </c>
      <c r="C10" s="95">
        <v>155583.24</v>
      </c>
      <c r="D10" s="96">
        <f>23+21</f>
        <v>44</v>
      </c>
      <c r="E10" s="97">
        <v>145739.92000000001</v>
      </c>
      <c r="F10" s="98">
        <f>valoración!$U$2*(MIN(E$10:E$11)/E10)</f>
        <v>48.380779953769697</v>
      </c>
      <c r="G10" s="98">
        <f>D10+F10</f>
        <v>92.380779953769689</v>
      </c>
      <c r="H10" s="99"/>
      <c r="I10" s="100"/>
      <c r="J10" s="101">
        <f t="shared" ref="J10:J44" si="0">+G10*I10</f>
        <v>0</v>
      </c>
      <c r="K10" s="102">
        <f t="shared" ref="K10:K38" si="1">100-($E10*100/$C10)</f>
        <v>6.3267225955700468</v>
      </c>
      <c r="L10" s="57"/>
      <c r="N10" s="307"/>
    </row>
    <row r="11" spans="1:14" ht="34.5" customHeight="1" thickBot="1" x14ac:dyDescent="0.25">
      <c r="A11" s="75" t="s">
        <v>28</v>
      </c>
      <c r="B11" s="116" t="s">
        <v>40</v>
      </c>
      <c r="C11" s="146">
        <v>155583.24</v>
      </c>
      <c r="D11" s="118">
        <f>23+21</f>
        <v>44</v>
      </c>
      <c r="E11" s="119">
        <v>128200.2</v>
      </c>
      <c r="F11" s="64">
        <f>valoración!$U$2*(MIN(E$10:E$11)/E11)</f>
        <v>55</v>
      </c>
      <c r="G11" s="64">
        <f t="shared" ref="G11:G46" si="2">D11+F11</f>
        <v>99</v>
      </c>
      <c r="H11" s="120">
        <v>1</v>
      </c>
      <c r="I11" s="65">
        <f t="shared" ref="I11:I15" si="3">+$C11/$C$47*H11</f>
        <v>9.7302454389351783E-3</v>
      </c>
      <c r="J11" s="121">
        <f t="shared" si="0"/>
        <v>0.9632942984545827</v>
      </c>
      <c r="K11" s="63">
        <f t="shared" si="1"/>
        <v>17.600250515415411</v>
      </c>
      <c r="N11" s="307"/>
    </row>
    <row r="12" spans="1:14" ht="35.1" customHeight="1" x14ac:dyDescent="0.2">
      <c r="A12" s="18" t="s">
        <v>24</v>
      </c>
      <c r="B12" s="94" t="s">
        <v>45</v>
      </c>
      <c r="C12" s="122">
        <v>297398.74</v>
      </c>
      <c r="D12" s="96">
        <f>18+21</f>
        <v>39</v>
      </c>
      <c r="E12" s="97">
        <v>291478.06</v>
      </c>
      <c r="F12" s="98">
        <f>valoración!$U$2*(MIN(E$12:E$14)/E12)</f>
        <v>38.940634674184395</v>
      </c>
      <c r="G12" s="98">
        <f t="shared" si="2"/>
        <v>77.940634674184395</v>
      </c>
      <c r="H12" s="99"/>
      <c r="I12" s="100"/>
      <c r="J12" s="101">
        <f t="shared" si="0"/>
        <v>0</v>
      </c>
      <c r="K12" s="102">
        <f t="shared" si="1"/>
        <v>1.9908221534495993</v>
      </c>
      <c r="N12" s="307"/>
    </row>
    <row r="13" spans="1:14" ht="35.1" customHeight="1" x14ac:dyDescent="0.2">
      <c r="A13" s="74" t="s">
        <v>29</v>
      </c>
      <c r="B13" s="85" t="s">
        <v>42</v>
      </c>
      <c r="C13" s="72">
        <v>297398.74</v>
      </c>
      <c r="D13" s="70">
        <f>23+21</f>
        <v>44</v>
      </c>
      <c r="E13" s="39">
        <v>206369.83</v>
      </c>
      <c r="F13" s="21">
        <f>valoración!$U$2*(MIN(E$12:E$14)/E13)</f>
        <v>55</v>
      </c>
      <c r="G13" s="21">
        <f t="shared" si="2"/>
        <v>99</v>
      </c>
      <c r="H13" s="51">
        <v>1</v>
      </c>
      <c r="I13" s="52">
        <f t="shared" si="3"/>
        <v>1.859945025846016E-2</v>
      </c>
      <c r="J13" s="73">
        <f t="shared" si="0"/>
        <v>1.8413455755875558</v>
      </c>
      <c r="K13" s="68">
        <f t="shared" si="1"/>
        <v>30.608371104732996</v>
      </c>
      <c r="N13" s="307"/>
    </row>
    <row r="14" spans="1:14" ht="35.1" customHeight="1" thickBot="1" x14ac:dyDescent="0.25">
      <c r="A14" s="75"/>
      <c r="B14" s="103" t="s">
        <v>41</v>
      </c>
      <c r="C14" s="125">
        <v>297398.74</v>
      </c>
      <c r="D14" s="104">
        <f>21.5+21</f>
        <v>42.5</v>
      </c>
      <c r="E14" s="105">
        <v>214338.3</v>
      </c>
      <c r="F14" s="106">
        <f>valoración!$U$2*(MIN(E$12:E$14)/E14)</f>
        <v>52.955261145581538</v>
      </c>
      <c r="G14" s="106">
        <f t="shared" si="2"/>
        <v>95.455261145581545</v>
      </c>
      <c r="H14" s="107"/>
      <c r="I14" s="108"/>
      <c r="J14" s="109">
        <f t="shared" si="0"/>
        <v>0</v>
      </c>
      <c r="K14" s="110">
        <f t="shared" si="1"/>
        <v>27.928981810750102</v>
      </c>
      <c r="L14" s="57"/>
      <c r="N14" s="307"/>
    </row>
    <row r="15" spans="1:14" ht="35.1" customHeight="1" x14ac:dyDescent="0.2">
      <c r="A15" s="18" t="s">
        <v>25</v>
      </c>
      <c r="B15" s="113" t="s">
        <v>46</v>
      </c>
      <c r="C15" s="69">
        <v>89645.27</v>
      </c>
      <c r="D15" s="114">
        <f>23+21</f>
        <v>44</v>
      </c>
      <c r="E15" s="34">
        <v>73484</v>
      </c>
      <c r="F15" s="35">
        <f>valoración!$U$2*(MIN(E$15:E$17)/E15)</f>
        <v>55</v>
      </c>
      <c r="G15" s="35">
        <f t="shared" si="2"/>
        <v>99</v>
      </c>
      <c r="H15" s="144">
        <v>1</v>
      </c>
      <c r="I15" s="55">
        <f t="shared" si="3"/>
        <v>5.6064552938967765E-3</v>
      </c>
      <c r="J15" s="115">
        <f t="shared" si="0"/>
        <v>0.5550390740957809</v>
      </c>
      <c r="K15" s="62">
        <f t="shared" si="1"/>
        <v>18.028023118230337</v>
      </c>
      <c r="N15" s="307"/>
    </row>
    <row r="16" spans="1:14" ht="35.1" customHeight="1" x14ac:dyDescent="0.2">
      <c r="A16" s="290" t="s">
        <v>30</v>
      </c>
      <c r="B16" s="84" t="s">
        <v>42</v>
      </c>
      <c r="C16" s="83">
        <v>89645.27</v>
      </c>
      <c r="D16" s="80">
        <f>23+21</f>
        <v>44</v>
      </c>
      <c r="E16" s="81">
        <v>79815.28</v>
      </c>
      <c r="F16" s="76">
        <f>valoración!$U$2*(MIN(E$15:E$17)/E16)</f>
        <v>50.637171228366299</v>
      </c>
      <c r="G16" s="76">
        <f t="shared" si="2"/>
        <v>94.637171228366299</v>
      </c>
      <c r="H16" s="79"/>
      <c r="I16" s="78"/>
      <c r="J16" s="82">
        <f t="shared" si="0"/>
        <v>0</v>
      </c>
      <c r="K16" s="124">
        <f t="shared" si="1"/>
        <v>10.965430747210647</v>
      </c>
      <c r="L16" s="57"/>
      <c r="N16" s="307"/>
    </row>
    <row r="17" spans="1:14" ht="35.1" customHeight="1" thickBot="1" x14ac:dyDescent="0.25">
      <c r="A17" s="291"/>
      <c r="B17" s="103" t="s">
        <v>45</v>
      </c>
      <c r="C17" s="125">
        <v>89645.27</v>
      </c>
      <c r="D17" s="104">
        <f>18+21</f>
        <v>39</v>
      </c>
      <c r="E17" s="105">
        <v>89605.28</v>
      </c>
      <c r="F17" s="106">
        <f>valoración!$U$2*(MIN(E$15:E$17)/E17)</f>
        <v>45.104708115414631</v>
      </c>
      <c r="G17" s="106">
        <f t="shared" si="2"/>
        <v>84.104708115414638</v>
      </c>
      <c r="H17" s="107"/>
      <c r="I17" s="108"/>
      <c r="J17" s="109">
        <f t="shared" si="0"/>
        <v>0</v>
      </c>
      <c r="K17" s="110">
        <f t="shared" si="1"/>
        <v>4.4609157850715064E-2</v>
      </c>
      <c r="N17" s="307"/>
    </row>
    <row r="18" spans="1:14" ht="35.1" customHeight="1" thickBot="1" x14ac:dyDescent="0.25">
      <c r="A18" s="45" t="s">
        <v>47</v>
      </c>
      <c r="B18" s="126" t="s">
        <v>44</v>
      </c>
      <c r="C18" s="127">
        <v>581371.85</v>
      </c>
      <c r="D18" s="128" t="s">
        <v>62</v>
      </c>
      <c r="E18" s="128" t="s">
        <v>62</v>
      </c>
      <c r="F18" s="128" t="s">
        <v>62</v>
      </c>
      <c r="G18" s="128" t="s">
        <v>62</v>
      </c>
      <c r="H18" s="128" t="s">
        <v>62</v>
      </c>
      <c r="I18" s="128" t="s">
        <v>62</v>
      </c>
      <c r="J18" s="128" t="s">
        <v>62</v>
      </c>
      <c r="K18" s="129" t="s">
        <v>62</v>
      </c>
      <c r="N18" s="307"/>
    </row>
    <row r="19" spans="1:14" ht="35.1" customHeight="1" x14ac:dyDescent="0.2">
      <c r="A19" s="18" t="s">
        <v>26</v>
      </c>
      <c r="B19" s="94" t="s">
        <v>46</v>
      </c>
      <c r="C19" s="122">
        <v>151503.4</v>
      </c>
      <c r="D19" s="96">
        <f>23+21</f>
        <v>44</v>
      </c>
      <c r="E19" s="97">
        <v>113568</v>
      </c>
      <c r="F19" s="98">
        <f>valoración!$U$2*(MIN(E$19:E$20)/E19)</f>
        <v>46.773710904480133</v>
      </c>
      <c r="G19" s="98">
        <f t="shared" si="2"/>
        <v>90.77371090448014</v>
      </c>
      <c r="H19" s="99"/>
      <c r="I19" s="100"/>
      <c r="J19" s="101">
        <f t="shared" si="0"/>
        <v>0</v>
      </c>
      <c r="K19" s="102">
        <f t="shared" si="1"/>
        <v>25.039306048577131</v>
      </c>
      <c r="L19" s="57"/>
      <c r="N19" s="307"/>
    </row>
    <row r="20" spans="1:14" ht="35.1" customHeight="1" thickBot="1" x14ac:dyDescent="0.25">
      <c r="A20" s="75" t="s">
        <v>31</v>
      </c>
      <c r="B20" s="116" t="s">
        <v>42</v>
      </c>
      <c r="C20" s="117">
        <v>151503.4</v>
      </c>
      <c r="D20" s="118">
        <f t="shared" ref="D20:D32" si="4">23+21</f>
        <v>44</v>
      </c>
      <c r="E20" s="119">
        <v>96581.759999999995</v>
      </c>
      <c r="F20" s="64">
        <f>valoración!$U$2*(MIN(E$19:E$20)/E20)</f>
        <v>55</v>
      </c>
      <c r="G20" s="64">
        <f t="shared" si="2"/>
        <v>99</v>
      </c>
      <c r="H20" s="120">
        <v>1</v>
      </c>
      <c r="I20" s="65">
        <f t="shared" ref="I20:I25" si="5">+$C20/$C$47*H20</f>
        <v>9.4750904199782191E-3</v>
      </c>
      <c r="J20" s="121">
        <f>+G20*I20</f>
        <v>0.93803395157784364</v>
      </c>
      <c r="K20" s="63">
        <f t="shared" si="1"/>
        <v>36.251094034853338</v>
      </c>
      <c r="N20" s="307"/>
    </row>
    <row r="21" spans="1:14" ht="35.1" customHeight="1" thickBot="1" x14ac:dyDescent="0.25">
      <c r="A21" s="45" t="s">
        <v>48</v>
      </c>
      <c r="B21" s="130" t="s">
        <v>46</v>
      </c>
      <c r="C21" s="131">
        <v>414980.29</v>
      </c>
      <c r="D21" s="132">
        <f t="shared" si="4"/>
        <v>44</v>
      </c>
      <c r="E21" s="133">
        <v>411328.08</v>
      </c>
      <c r="F21" s="134">
        <f>valoración!$U$2*(MIN(E$21)/E21)</f>
        <v>55</v>
      </c>
      <c r="G21" s="134">
        <f t="shared" si="2"/>
        <v>99</v>
      </c>
      <c r="H21" s="135">
        <v>1</v>
      </c>
      <c r="I21" s="136">
        <f t="shared" si="5"/>
        <v>2.5953053002498842E-2</v>
      </c>
      <c r="J21" s="137">
        <f>+G21*I21</f>
        <v>2.5693522472473855</v>
      </c>
      <c r="K21" s="138">
        <f t="shared" si="1"/>
        <v>0.88009240149693824</v>
      </c>
      <c r="L21" s="57"/>
      <c r="N21" s="307"/>
    </row>
    <row r="22" spans="1:14" ht="35.1" customHeight="1" x14ac:dyDescent="0.2">
      <c r="A22" s="18" t="s">
        <v>27</v>
      </c>
      <c r="B22" s="94" t="s">
        <v>46</v>
      </c>
      <c r="C22" s="122">
        <v>548434.80000000005</v>
      </c>
      <c r="D22" s="96">
        <f t="shared" si="4"/>
        <v>44</v>
      </c>
      <c r="E22" s="97">
        <v>547014</v>
      </c>
      <c r="F22" s="98">
        <f>valoración!$U$2*(MIN(E$22:E$24)/E22)</f>
        <v>35.328267375240856</v>
      </c>
      <c r="G22" s="98">
        <f t="shared" si="2"/>
        <v>79.328267375240856</v>
      </c>
      <c r="H22" s="99"/>
      <c r="I22" s="100"/>
      <c r="J22" s="101">
        <f t="shared" si="0"/>
        <v>0</v>
      </c>
      <c r="K22" s="102">
        <f t="shared" si="1"/>
        <v>0.25906452325783391</v>
      </c>
      <c r="N22" s="307"/>
    </row>
    <row r="23" spans="1:14" ht="35.1" customHeight="1" x14ac:dyDescent="0.2">
      <c r="A23" s="292" t="s">
        <v>32</v>
      </c>
      <c r="B23" s="85" t="s">
        <v>42</v>
      </c>
      <c r="C23" s="72">
        <v>548434.80000000005</v>
      </c>
      <c r="D23" s="70">
        <f t="shared" si="4"/>
        <v>44</v>
      </c>
      <c r="E23" s="39">
        <v>351364.67</v>
      </c>
      <c r="F23" s="21">
        <f>valoración!$U$2*(MIN(E$22:E$24)/E23)</f>
        <v>55</v>
      </c>
      <c r="G23" s="21">
        <f t="shared" si="2"/>
        <v>99</v>
      </c>
      <c r="H23" s="51">
        <v>1</v>
      </c>
      <c r="I23" s="52">
        <f t="shared" si="5"/>
        <v>3.4299357766642009E-2</v>
      </c>
      <c r="J23" s="73">
        <f>+G23*I23</f>
        <v>3.395636418897559</v>
      </c>
      <c r="K23" s="68">
        <f t="shared" si="1"/>
        <v>35.933192058563762</v>
      </c>
      <c r="N23" s="307"/>
    </row>
    <row r="24" spans="1:14" ht="35.1" customHeight="1" thickBot="1" x14ac:dyDescent="0.25">
      <c r="A24" s="293"/>
      <c r="B24" s="103" t="s">
        <v>49</v>
      </c>
      <c r="C24" s="125">
        <v>548434.80000000005</v>
      </c>
      <c r="D24" s="104">
        <f t="shared" si="4"/>
        <v>44</v>
      </c>
      <c r="E24" s="105">
        <v>547770.84</v>
      </c>
      <c r="F24" s="106">
        <f>valoración!$U$2*(MIN(E$22:E$24)/E24)</f>
        <v>35.279455273668823</v>
      </c>
      <c r="G24" s="106">
        <f t="shared" si="2"/>
        <v>79.279455273668816</v>
      </c>
      <c r="H24" s="107"/>
      <c r="I24" s="108"/>
      <c r="J24" s="109">
        <f t="shared" si="0"/>
        <v>0</v>
      </c>
      <c r="K24" s="110">
        <f t="shared" si="1"/>
        <v>0.12106452763391928</v>
      </c>
      <c r="L24" s="57"/>
      <c r="N24" s="307"/>
    </row>
    <row r="25" spans="1:14" ht="35.1" customHeight="1" x14ac:dyDescent="0.2">
      <c r="A25" s="18" t="s">
        <v>50</v>
      </c>
      <c r="B25" s="113" t="s">
        <v>46</v>
      </c>
      <c r="C25" s="69">
        <v>2106617.15</v>
      </c>
      <c r="D25" s="114">
        <f t="shared" si="4"/>
        <v>44</v>
      </c>
      <c r="E25" s="34">
        <v>1727236.12</v>
      </c>
      <c r="F25" s="35">
        <f>valoración!$U$2*(MIN(E$25:E$27)/E25)</f>
        <v>55</v>
      </c>
      <c r="G25" s="35">
        <f t="shared" si="2"/>
        <v>99</v>
      </c>
      <c r="H25" s="144">
        <v>1</v>
      </c>
      <c r="I25" s="55">
        <f t="shared" si="5"/>
        <v>0.13174877908038246</v>
      </c>
      <c r="J25" s="115">
        <f t="shared" si="0"/>
        <v>13.043129128957863</v>
      </c>
      <c r="K25" s="62">
        <f t="shared" si="1"/>
        <v>18.00901649357597</v>
      </c>
      <c r="N25" s="307"/>
    </row>
    <row r="26" spans="1:14" ht="35.1" customHeight="1" x14ac:dyDescent="0.2">
      <c r="A26" s="74"/>
      <c r="B26" s="84" t="s">
        <v>42</v>
      </c>
      <c r="C26" s="83">
        <v>2106617.15</v>
      </c>
      <c r="D26" s="80">
        <f t="shared" si="4"/>
        <v>44</v>
      </c>
      <c r="E26" s="81">
        <v>2101973.66</v>
      </c>
      <c r="F26" s="76">
        <f>valoración!$U$2*(MIN(E$25:E$27)/E26)</f>
        <v>45.194660812257752</v>
      </c>
      <c r="G26" s="76">
        <f t="shared" si="2"/>
        <v>89.194660812257752</v>
      </c>
      <c r="H26" s="77"/>
      <c r="I26" s="78"/>
      <c r="J26" s="82"/>
      <c r="K26" s="124">
        <f t="shared" si="1"/>
        <v>0.22042401012447499</v>
      </c>
      <c r="N26" s="307"/>
    </row>
    <row r="27" spans="1:14" ht="35.1" customHeight="1" thickBot="1" x14ac:dyDescent="0.25">
      <c r="A27" s="75"/>
      <c r="B27" s="103" t="s">
        <v>49</v>
      </c>
      <c r="C27" s="125">
        <v>2106617.15</v>
      </c>
      <c r="D27" s="104">
        <f t="shared" si="4"/>
        <v>44</v>
      </c>
      <c r="E27" s="105">
        <v>2070116.25</v>
      </c>
      <c r="F27" s="106">
        <f>valoración!$U$2*(MIN(E$25:E$27)/E27)</f>
        <v>45.890169984415131</v>
      </c>
      <c r="G27" s="106">
        <f t="shared" si="2"/>
        <v>89.890169984415138</v>
      </c>
      <c r="H27" s="107"/>
      <c r="I27" s="108"/>
      <c r="J27" s="109">
        <f t="shared" si="0"/>
        <v>0</v>
      </c>
      <c r="K27" s="110">
        <f t="shared" si="1"/>
        <v>1.7326783843946174</v>
      </c>
      <c r="L27" s="58"/>
      <c r="N27" s="307"/>
    </row>
    <row r="28" spans="1:14" ht="35.1" customHeight="1" thickBot="1" x14ac:dyDescent="0.25">
      <c r="A28" s="45" t="s">
        <v>33</v>
      </c>
      <c r="B28" s="130" t="s">
        <v>42</v>
      </c>
      <c r="C28" s="131">
        <v>205615.76</v>
      </c>
      <c r="D28" s="132">
        <f t="shared" si="4"/>
        <v>44</v>
      </c>
      <c r="E28" s="133">
        <v>172835.55</v>
      </c>
      <c r="F28" s="134">
        <f>valoración!$U$2*(MIN(E$28)/E28)</f>
        <v>55</v>
      </c>
      <c r="G28" s="134">
        <f t="shared" si="2"/>
        <v>99</v>
      </c>
      <c r="H28" s="135">
        <v>1</v>
      </c>
      <c r="I28" s="136">
        <f>+$C28/$C$47*H28</f>
        <v>1.2859301624732783E-2</v>
      </c>
      <c r="J28" s="137">
        <f t="shared" si="0"/>
        <v>1.2730708608485455</v>
      </c>
      <c r="K28" s="138">
        <f t="shared" si="1"/>
        <v>15.942459858135393</v>
      </c>
      <c r="N28" s="307"/>
    </row>
    <row r="29" spans="1:14" ht="35.1" customHeight="1" x14ac:dyDescent="0.2">
      <c r="A29" s="287" t="s">
        <v>34</v>
      </c>
      <c r="B29" s="94" t="s">
        <v>46</v>
      </c>
      <c r="C29" s="122">
        <v>541844.42000000004</v>
      </c>
      <c r="D29" s="96">
        <f t="shared" si="4"/>
        <v>44</v>
      </c>
      <c r="E29" s="97">
        <v>506631.8</v>
      </c>
      <c r="F29" s="98">
        <f>valoración!$U$2*(MIN(E$29:E$30)/E29)</f>
        <v>52.562729086488453</v>
      </c>
      <c r="G29" s="98">
        <f t="shared" si="2"/>
        <v>96.562729086488446</v>
      </c>
      <c r="H29" s="123"/>
      <c r="I29" s="100"/>
      <c r="J29" s="101"/>
      <c r="K29" s="102">
        <f t="shared" si="1"/>
        <v>6.498658784748585</v>
      </c>
      <c r="N29" s="307"/>
    </row>
    <row r="30" spans="1:14" ht="35.1" customHeight="1" thickBot="1" x14ac:dyDescent="0.25">
      <c r="A30" s="289"/>
      <c r="B30" s="116" t="s">
        <v>42</v>
      </c>
      <c r="C30" s="117">
        <v>541844.42000000004</v>
      </c>
      <c r="D30" s="118">
        <f t="shared" si="4"/>
        <v>44</v>
      </c>
      <c r="E30" s="119">
        <v>484180.91</v>
      </c>
      <c r="F30" s="64">
        <f>valoración!$U$2*(MIN(E$29:E$30)/E30)</f>
        <v>55</v>
      </c>
      <c r="G30" s="64">
        <f t="shared" si="2"/>
        <v>99</v>
      </c>
      <c r="H30" s="120">
        <v>1</v>
      </c>
      <c r="I30" s="65">
        <f>+$C30/$C$47*H30</f>
        <v>3.3887192452846965E-2</v>
      </c>
      <c r="J30" s="121">
        <f t="shared" si="0"/>
        <v>3.3548320528318496</v>
      </c>
      <c r="K30" s="63">
        <f t="shared" si="1"/>
        <v>10.642078772353145</v>
      </c>
      <c r="N30" s="307"/>
    </row>
    <row r="31" spans="1:14" ht="35.1" customHeight="1" x14ac:dyDescent="0.2">
      <c r="A31" s="292" t="s">
        <v>35</v>
      </c>
      <c r="B31" s="88" t="s">
        <v>46</v>
      </c>
      <c r="C31" s="111">
        <v>134485.44</v>
      </c>
      <c r="D31" s="89">
        <f t="shared" si="4"/>
        <v>44</v>
      </c>
      <c r="E31" s="90">
        <v>133264.04</v>
      </c>
      <c r="F31" s="91">
        <f>valoración!$U$2*(MIN(E$31:E$32)/E31)</f>
        <v>52.83979046410419</v>
      </c>
      <c r="G31" s="91">
        <f t="shared" si="2"/>
        <v>96.839790464104198</v>
      </c>
      <c r="H31" s="112"/>
      <c r="I31" s="92"/>
      <c r="J31" s="93"/>
      <c r="K31" s="89">
        <f t="shared" si="1"/>
        <v>0.90820240466179314</v>
      </c>
      <c r="N31" s="307"/>
    </row>
    <row r="32" spans="1:14" ht="35.1" customHeight="1" thickBot="1" x14ac:dyDescent="0.25">
      <c r="A32" s="292"/>
      <c r="B32" s="282" t="s">
        <v>42</v>
      </c>
      <c r="C32" s="283">
        <v>134485.44</v>
      </c>
      <c r="D32" s="227">
        <f t="shared" si="4"/>
        <v>44</v>
      </c>
      <c r="E32" s="139">
        <v>128029.89</v>
      </c>
      <c r="F32" s="140">
        <f>valoración!$U$2*(MIN(E$31:E$32)/E32)</f>
        <v>55</v>
      </c>
      <c r="G32" s="140">
        <f t="shared" si="2"/>
        <v>99</v>
      </c>
      <c r="H32" s="141">
        <v>1</v>
      </c>
      <c r="I32" s="86">
        <f>+$C32/$C$47*H32</f>
        <v>8.4107795875904799E-3</v>
      </c>
      <c r="J32" s="284">
        <f t="shared" si="0"/>
        <v>0.83266717917145749</v>
      </c>
      <c r="K32" s="227">
        <f t="shared" si="1"/>
        <v>4.800185060925557</v>
      </c>
      <c r="N32" s="307"/>
    </row>
    <row r="33" spans="1:15" ht="51" customHeight="1" x14ac:dyDescent="0.2">
      <c r="A33" s="294" t="s">
        <v>36</v>
      </c>
      <c r="B33" s="94" t="s">
        <v>51</v>
      </c>
      <c r="C33" s="122">
        <v>8724082.0099999998</v>
      </c>
      <c r="D33" s="96">
        <f>20.5+21</f>
        <v>41.5</v>
      </c>
      <c r="E33" s="97">
        <v>8680893.7599999998</v>
      </c>
      <c r="F33" s="98">
        <f>valoración!$U$2*(MIN(E$33:E$38)/E33)</f>
        <v>46.803165230765359</v>
      </c>
      <c r="G33" s="98">
        <f t="shared" si="2"/>
        <v>88.303165230765359</v>
      </c>
      <c r="H33" s="123"/>
      <c r="I33" s="100"/>
      <c r="J33" s="101"/>
      <c r="K33" s="102">
        <f t="shared" si="1"/>
        <v>0.49504635502617589</v>
      </c>
      <c r="N33" s="307"/>
    </row>
    <row r="34" spans="1:15" ht="51" customHeight="1" x14ac:dyDescent="0.2">
      <c r="A34" s="292"/>
      <c r="B34" s="85" t="s">
        <v>46</v>
      </c>
      <c r="C34" s="72">
        <v>8724082.0099999998</v>
      </c>
      <c r="D34" s="70">
        <f>23+21</f>
        <v>44</v>
      </c>
      <c r="E34" s="39">
        <v>7387151</v>
      </c>
      <c r="F34" s="21">
        <f>valoración!$U$2*(MIN(E$33:E$38)/E34)</f>
        <v>55</v>
      </c>
      <c r="G34" s="21">
        <f t="shared" si="2"/>
        <v>99</v>
      </c>
      <c r="H34" s="51">
        <v>1</v>
      </c>
      <c r="I34" s="52">
        <f>+$C34/$C$47*H34</f>
        <v>0.54560799213783528</v>
      </c>
      <c r="J34" s="73">
        <f t="shared" si="0"/>
        <v>54.015191221645694</v>
      </c>
      <c r="K34" s="68">
        <f t="shared" si="1"/>
        <v>15.324603877720762</v>
      </c>
      <c r="M34" s="281"/>
      <c r="N34" s="307"/>
      <c r="O34" s="57"/>
    </row>
    <row r="35" spans="1:15" ht="51" customHeight="1" x14ac:dyDescent="0.2">
      <c r="A35" s="292"/>
      <c r="B35" s="84" t="s">
        <v>52</v>
      </c>
      <c r="C35" s="83">
        <v>8724082.0099999998</v>
      </c>
      <c r="D35" s="80">
        <f>22+21</f>
        <v>43</v>
      </c>
      <c r="E35" s="81">
        <v>8585764.5199999996</v>
      </c>
      <c r="F35" s="76">
        <f>valoración!$U$2*(MIN(E$33:E$38)/E35)</f>
        <v>47.321738681926959</v>
      </c>
      <c r="G35" s="76">
        <f t="shared" si="2"/>
        <v>90.321738681926959</v>
      </c>
      <c r="H35" s="77"/>
      <c r="I35" s="78"/>
      <c r="J35" s="82"/>
      <c r="K35" s="124">
        <f t="shared" si="1"/>
        <v>1.5854675579786317</v>
      </c>
      <c r="N35" s="307"/>
    </row>
    <row r="36" spans="1:15" ht="51" customHeight="1" x14ac:dyDescent="0.2">
      <c r="A36" s="292"/>
      <c r="B36" s="84" t="s">
        <v>42</v>
      </c>
      <c r="C36" s="83">
        <v>8724082.0099999998</v>
      </c>
      <c r="D36" s="80">
        <f>22.5+21</f>
        <v>43.5</v>
      </c>
      <c r="E36" s="81">
        <v>8615475.3699999992</v>
      </c>
      <c r="F36" s="76">
        <f>valoración!$U$2*(MIN(E$33:E$38)/E36)</f>
        <v>47.158547561375023</v>
      </c>
      <c r="G36" s="76">
        <f t="shared" si="2"/>
        <v>90.65854756137503</v>
      </c>
      <c r="H36" s="77"/>
      <c r="I36" s="78"/>
      <c r="J36" s="82"/>
      <c r="K36" s="124">
        <f t="shared" si="1"/>
        <v>1.244906224809796</v>
      </c>
      <c r="N36" s="307"/>
    </row>
    <row r="37" spans="1:15" ht="51" customHeight="1" x14ac:dyDescent="0.2">
      <c r="A37" s="292"/>
      <c r="B37" s="84" t="s">
        <v>53</v>
      </c>
      <c r="C37" s="83">
        <v>8724082.0099999998</v>
      </c>
      <c r="D37" s="80">
        <f>22.5+21</f>
        <v>43.5</v>
      </c>
      <c r="E37" s="81">
        <v>8529887.1699999999</v>
      </c>
      <c r="F37" s="76">
        <f>valoración!$U$2*(MIN(E$33:E$38)/E37)</f>
        <v>47.631732624664956</v>
      </c>
      <c r="G37" s="76">
        <f t="shared" si="2"/>
        <v>91.131732624664949</v>
      </c>
      <c r="H37" s="77"/>
      <c r="I37" s="78"/>
      <c r="J37" s="82"/>
      <c r="K37" s="124">
        <f t="shared" si="1"/>
        <v>2.2259630271403097</v>
      </c>
      <c r="N37" s="307"/>
    </row>
    <row r="38" spans="1:15" ht="51" customHeight="1" thickBot="1" x14ac:dyDescent="0.25">
      <c r="A38" s="293"/>
      <c r="B38" s="103" t="s">
        <v>54</v>
      </c>
      <c r="C38" s="125">
        <v>8724082.0099999998</v>
      </c>
      <c r="D38" s="104">
        <f>21+21</f>
        <v>42</v>
      </c>
      <c r="E38" s="105">
        <v>8317486.1399999997</v>
      </c>
      <c r="F38" s="106">
        <f>valoración!$U$2*(MIN(E$33:E$38)/E38)</f>
        <v>48.848089213647917</v>
      </c>
      <c r="G38" s="106">
        <f t="shared" si="2"/>
        <v>90.84808921364791</v>
      </c>
      <c r="H38" s="107"/>
      <c r="I38" s="108"/>
      <c r="J38" s="109"/>
      <c r="K38" s="110">
        <f t="shared" si="1"/>
        <v>4.6606149453196082</v>
      </c>
      <c r="L38" s="57"/>
      <c r="N38" s="307"/>
    </row>
    <row r="39" spans="1:15" ht="41.25" customHeight="1" thickBot="1" x14ac:dyDescent="0.25">
      <c r="A39" s="45" t="s">
        <v>60</v>
      </c>
      <c r="B39" s="126" t="s">
        <v>44</v>
      </c>
      <c r="C39" s="127">
        <v>194490.2</v>
      </c>
      <c r="D39" s="128" t="s">
        <v>62</v>
      </c>
      <c r="E39" s="128" t="s">
        <v>62</v>
      </c>
      <c r="F39" s="128" t="s">
        <v>62</v>
      </c>
      <c r="G39" s="128" t="s">
        <v>62</v>
      </c>
      <c r="H39" s="128" t="s">
        <v>62</v>
      </c>
      <c r="I39" s="128" t="s">
        <v>62</v>
      </c>
      <c r="J39" s="128" t="s">
        <v>62</v>
      </c>
      <c r="K39" s="129" t="s">
        <v>62</v>
      </c>
      <c r="N39" s="307"/>
    </row>
    <row r="40" spans="1:15" ht="39" customHeight="1" thickBot="1" x14ac:dyDescent="0.25">
      <c r="A40" s="45" t="s">
        <v>59</v>
      </c>
      <c r="B40" s="130" t="s">
        <v>40</v>
      </c>
      <c r="C40" s="131">
        <v>181414.03</v>
      </c>
      <c r="D40" s="132">
        <f>23+21</f>
        <v>44</v>
      </c>
      <c r="E40" s="133">
        <v>134579.87</v>
      </c>
      <c r="F40" s="134">
        <f>valoración!$U$2*(MIN(E$40)/E40)</f>
        <v>55</v>
      </c>
      <c r="G40" s="134">
        <f t="shared" si="2"/>
        <v>99</v>
      </c>
      <c r="H40" s="135">
        <v>1</v>
      </c>
      <c r="I40" s="136">
        <f>+$C40/$C$47*H40</f>
        <v>1.1345714602461998E-2</v>
      </c>
      <c r="J40" s="137">
        <f t="shared" si="0"/>
        <v>1.1232257456437378</v>
      </c>
      <c r="K40" s="138">
        <f t="shared" ref="K40:K46" si="6">100-($E40*100/$C40)</f>
        <v>25.816173093117442</v>
      </c>
      <c r="N40" s="307"/>
    </row>
    <row r="41" spans="1:15" ht="38.25" customHeight="1" x14ac:dyDescent="0.2">
      <c r="A41" s="294" t="s">
        <v>37</v>
      </c>
      <c r="B41" s="94" t="s">
        <v>46</v>
      </c>
      <c r="C41" s="122">
        <v>626433.36</v>
      </c>
      <c r="D41" s="96">
        <f>23+21</f>
        <v>44</v>
      </c>
      <c r="E41" s="97">
        <v>469888.16</v>
      </c>
      <c r="F41" s="98">
        <f>valoración!$U$2*(MIN(E$41:E$43)/E41)</f>
        <v>54.140894505620238</v>
      </c>
      <c r="G41" s="98">
        <f t="shared" si="2"/>
        <v>98.140894505620238</v>
      </c>
      <c r="H41" s="123"/>
      <c r="I41" s="100"/>
      <c r="J41" s="101"/>
      <c r="K41" s="102">
        <f t="shared" si="6"/>
        <v>24.989920715588966</v>
      </c>
      <c r="N41" s="307"/>
    </row>
    <row r="42" spans="1:15" ht="34.5" customHeight="1" x14ac:dyDescent="0.2">
      <c r="A42" s="292"/>
      <c r="B42" s="84" t="s">
        <v>55</v>
      </c>
      <c r="C42" s="83">
        <v>626433.36</v>
      </c>
      <c r="D42" s="80">
        <f>18+21</f>
        <v>39</v>
      </c>
      <c r="E42" s="81">
        <v>623670.59</v>
      </c>
      <c r="F42" s="76">
        <f>valoración!$U$2*(MIN(E$41:E$43)/E42)</f>
        <v>40.791029283583825</v>
      </c>
      <c r="G42" s="76">
        <f t="shared" si="2"/>
        <v>79.791029283583825</v>
      </c>
      <c r="H42" s="77"/>
      <c r="I42" s="78"/>
      <c r="J42" s="82"/>
      <c r="K42" s="124">
        <f t="shared" si="6"/>
        <v>0.44103174837303527</v>
      </c>
      <c r="N42" s="307"/>
    </row>
    <row r="43" spans="1:15" ht="34.5" customHeight="1" thickBot="1" x14ac:dyDescent="0.25">
      <c r="A43" s="293"/>
      <c r="B43" s="116" t="s">
        <v>42</v>
      </c>
      <c r="C43" s="117">
        <v>626433.36</v>
      </c>
      <c r="D43" s="118">
        <f>23+21</f>
        <v>44</v>
      </c>
      <c r="E43" s="119">
        <v>462548.46</v>
      </c>
      <c r="F43" s="64">
        <f>valoración!$U$2*(MIN(E$41:E$43)/E43)</f>
        <v>55</v>
      </c>
      <c r="G43" s="64">
        <f t="shared" si="2"/>
        <v>99</v>
      </c>
      <c r="H43" s="120">
        <v>1</v>
      </c>
      <c r="I43" s="65">
        <f t="shared" ref="I43" si="7">+$C43/$C$47*H43</f>
        <v>3.9177422606296405E-2</v>
      </c>
      <c r="J43" s="121">
        <f t="shared" si="0"/>
        <v>3.878564838023344</v>
      </c>
      <c r="K43" s="63">
        <f t="shared" si="6"/>
        <v>26.161585647354414</v>
      </c>
      <c r="L43" s="57"/>
      <c r="N43" s="307"/>
    </row>
    <row r="44" spans="1:15" ht="39" customHeight="1" x14ac:dyDescent="0.2">
      <c r="A44" s="287" t="s">
        <v>38</v>
      </c>
      <c r="B44" s="113" t="s">
        <v>46</v>
      </c>
      <c r="C44" s="69">
        <v>396204.76</v>
      </c>
      <c r="D44" s="114">
        <f>23+21</f>
        <v>44</v>
      </c>
      <c r="E44" s="34">
        <v>372183.76</v>
      </c>
      <c r="F44" s="35">
        <f>valoración!$U$2*(MIN(E$44:E$46)/E44)</f>
        <v>55</v>
      </c>
      <c r="G44" s="35">
        <f t="shared" si="2"/>
        <v>99</v>
      </c>
      <c r="H44" s="144">
        <v>1</v>
      </c>
      <c r="I44" s="55">
        <f>+$C44/$C$47*H44</f>
        <v>2.4778822955958544E-2</v>
      </c>
      <c r="J44" s="115">
        <f t="shared" si="0"/>
        <v>2.4531034726398957</v>
      </c>
      <c r="K44" s="62">
        <f t="shared" si="6"/>
        <v>6.0627742079625762</v>
      </c>
      <c r="N44" s="307"/>
    </row>
    <row r="45" spans="1:15" ht="34.5" customHeight="1" x14ac:dyDescent="0.2">
      <c r="A45" s="288"/>
      <c r="B45" s="84" t="s">
        <v>42</v>
      </c>
      <c r="C45" s="83">
        <v>396204.76</v>
      </c>
      <c r="D45" s="80">
        <f>23+21</f>
        <v>44</v>
      </c>
      <c r="E45" s="81">
        <v>395794.5</v>
      </c>
      <c r="F45" s="76">
        <f>valoración!$U$2*(MIN(E$44:E$46)/E45)</f>
        <v>51.719027929897969</v>
      </c>
      <c r="G45" s="76">
        <f t="shared" si="2"/>
        <v>95.719027929897976</v>
      </c>
      <c r="H45" s="77"/>
      <c r="I45" s="78"/>
      <c r="J45" s="82"/>
      <c r="K45" s="124">
        <f t="shared" si="6"/>
        <v>0.10354746873814236</v>
      </c>
      <c r="N45" s="307"/>
    </row>
    <row r="46" spans="1:15" ht="34.5" customHeight="1" thickBot="1" x14ac:dyDescent="0.25">
      <c r="A46" s="289"/>
      <c r="B46" s="103" t="s">
        <v>49</v>
      </c>
      <c r="C46" s="125">
        <v>396204.76</v>
      </c>
      <c r="D46" s="104">
        <f>23+21</f>
        <v>44</v>
      </c>
      <c r="E46" s="105">
        <v>395784.12</v>
      </c>
      <c r="F46" s="106">
        <f>valoración!$U$2*(MIN(E$44:E$46)/E46)</f>
        <v>51.720384334773215</v>
      </c>
      <c r="G46" s="106">
        <f t="shared" si="2"/>
        <v>95.720384334773215</v>
      </c>
      <c r="H46" s="107"/>
      <c r="I46" s="108"/>
      <c r="J46" s="109"/>
      <c r="K46" s="110">
        <f t="shared" si="6"/>
        <v>0.10616732620779601</v>
      </c>
      <c r="L46" s="57"/>
      <c r="N46" s="307"/>
    </row>
    <row r="47" spans="1:15" ht="51" customHeight="1" thickBot="1" x14ac:dyDescent="0.25">
      <c r="A47" s="9"/>
      <c r="B47" s="60" t="s">
        <v>13</v>
      </c>
      <c r="C47" s="61">
        <f>C9+C10+C12+C15+C18+C19+C21+C22+C25+C28+C29+C31+C33+C39+C40+C41+C44</f>
        <v>15989652.159999996</v>
      </c>
      <c r="D47" s="10"/>
      <c r="E47" s="42"/>
      <c r="F47" s="42"/>
      <c r="G47" s="42"/>
      <c r="H47" s="42"/>
      <c r="I47" s="142" t="s">
        <v>21</v>
      </c>
      <c r="J47" s="143">
        <f>SUM(J9:J46)</f>
        <v>90.236486065623097</v>
      </c>
      <c r="K47" s="40"/>
      <c r="N47" s="308"/>
    </row>
    <row r="48" spans="1:15" ht="15" x14ac:dyDescent="0.2">
      <c r="A48" s="41"/>
      <c r="B48" s="40"/>
      <c r="C48" s="40"/>
      <c r="D48" s="42"/>
      <c r="E48" s="40"/>
      <c r="F48" s="40"/>
      <c r="G48" s="40"/>
      <c r="H48" s="40"/>
      <c r="I48" s="40"/>
      <c r="J48" s="40"/>
      <c r="K48" s="40"/>
    </row>
    <row r="49" spans="1:11" x14ac:dyDescent="0.2">
      <c r="A49" s="40"/>
      <c r="B49" s="40"/>
      <c r="C49" s="40"/>
      <c r="D49" s="40"/>
      <c r="E49" s="40"/>
      <c r="F49" s="40"/>
      <c r="G49" s="40"/>
      <c r="H49" s="40"/>
      <c r="I49" s="40"/>
      <c r="J49" s="40"/>
      <c r="K49" s="40"/>
    </row>
    <row r="50" spans="1:11" x14ac:dyDescent="0.2">
      <c r="A50" s="40"/>
      <c r="B50" s="40"/>
      <c r="C50" s="40"/>
      <c r="D50" s="40"/>
      <c r="E50" s="40"/>
      <c r="F50" s="40"/>
      <c r="G50" s="40"/>
      <c r="H50" s="40"/>
      <c r="I50" s="40"/>
      <c r="J50" s="40"/>
      <c r="K50" s="40"/>
    </row>
    <row r="51" spans="1:11" ht="14.25" x14ac:dyDescent="0.2">
      <c r="A51" s="43" t="s">
        <v>2</v>
      </c>
      <c r="B51" s="40"/>
      <c r="C51" s="40"/>
      <c r="D51" s="40"/>
      <c r="E51" s="40"/>
      <c r="F51" s="40"/>
      <c r="G51" s="40"/>
      <c r="H51" s="40"/>
      <c r="I51" s="40"/>
      <c r="J51" s="40"/>
      <c r="K51" s="40"/>
    </row>
    <row r="52" spans="1:11" ht="14.25" x14ac:dyDescent="0.2">
      <c r="A52" s="43" t="s">
        <v>61</v>
      </c>
      <c r="B52" s="40"/>
      <c r="C52" s="40"/>
      <c r="D52" s="40"/>
      <c r="E52" s="40"/>
      <c r="F52" s="40"/>
      <c r="G52" s="40"/>
      <c r="H52" s="40"/>
      <c r="I52" s="40"/>
      <c r="J52" s="40"/>
      <c r="K52" s="40"/>
    </row>
    <row r="53" spans="1:11" x14ac:dyDescent="0.2">
      <c r="A53" s="40"/>
      <c r="D53" s="40"/>
    </row>
  </sheetData>
  <mergeCells count="11">
    <mergeCell ref="E7:J7"/>
    <mergeCell ref="A2:J2"/>
    <mergeCell ref="A3:J3"/>
    <mergeCell ref="A4:J4"/>
    <mergeCell ref="A41:A43"/>
    <mergeCell ref="A44:A46"/>
    <mergeCell ref="A16:A17"/>
    <mergeCell ref="A23:A24"/>
    <mergeCell ref="A29:A30"/>
    <mergeCell ref="A31:A32"/>
    <mergeCell ref="A33:A38"/>
  </mergeCells>
  <pageMargins left="0.25" right="0.25" top="0.75" bottom="0.75" header="0.3" footer="0.3"/>
  <pageSetup paperSize="9" scale="42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U53"/>
  <sheetViews>
    <sheetView showGridLines="0" showZeros="0" zoomScale="85" zoomScaleNormal="85" workbookViewId="0">
      <pane xSplit="1" ySplit="8" topLeftCell="B45" activePane="bottomRight" state="frozen"/>
      <selection pane="topRight" activeCell="B1" sqref="B1"/>
      <selection pane="bottomLeft" activeCell="A9" sqref="A9"/>
      <selection pane="bottomRight" activeCell="L44" sqref="L44:N46"/>
    </sheetView>
  </sheetViews>
  <sheetFormatPr baseColWidth="10" defaultRowHeight="15" x14ac:dyDescent="0.2"/>
  <cols>
    <col min="1" max="1" width="32.140625" style="9" customWidth="1"/>
    <col min="2" max="2" width="30.42578125" style="10" customWidth="1"/>
    <col min="3" max="3" width="25.140625" style="10" customWidth="1"/>
    <col min="4" max="4" width="17" style="10" customWidth="1"/>
    <col min="5" max="5" width="19.42578125" style="10" bestFit="1" customWidth="1"/>
    <col min="6" max="11" width="16.7109375" style="10" customWidth="1"/>
    <col min="12" max="12" width="18.85546875" style="10" customWidth="1"/>
    <col min="13" max="17" width="16.7109375" style="10" customWidth="1"/>
    <col min="18" max="16384" width="11.42578125" style="10"/>
  </cols>
  <sheetData>
    <row r="1" spans="1:21" x14ac:dyDescent="0.2">
      <c r="T1" s="12" t="s">
        <v>7</v>
      </c>
    </row>
    <row r="2" spans="1:21" s="3" customFormat="1" ht="48" customHeight="1" x14ac:dyDescent="0.15">
      <c r="A2" s="2"/>
      <c r="D2" s="4"/>
      <c r="E2" s="4"/>
      <c r="F2" s="4"/>
      <c r="G2" s="4"/>
      <c r="H2" s="5"/>
      <c r="M2" s="11"/>
      <c r="R2" s="47"/>
      <c r="T2" s="13" t="s">
        <v>19</v>
      </c>
      <c r="U2" s="14">
        <v>55</v>
      </c>
    </row>
    <row r="3" spans="1:21" s="3" customFormat="1" ht="22.5" customHeight="1" x14ac:dyDescent="0.15">
      <c r="A3" s="302" t="s">
        <v>57</v>
      </c>
      <c r="B3" s="302"/>
      <c r="C3" s="302"/>
      <c r="D3" s="302"/>
      <c r="E3" s="302"/>
      <c r="F3" s="302"/>
      <c r="G3" s="302"/>
      <c r="H3" s="302"/>
      <c r="I3" s="302"/>
      <c r="J3" s="302"/>
      <c r="K3" s="302"/>
      <c r="L3" s="302"/>
      <c r="M3" s="302"/>
      <c r="N3" s="302"/>
      <c r="O3" s="302"/>
      <c r="P3" s="302"/>
      <c r="Q3" s="302"/>
      <c r="T3" s="23" t="s">
        <v>9</v>
      </c>
    </row>
    <row r="4" spans="1:21" s="3" customFormat="1" ht="22.5" customHeight="1" x14ac:dyDescent="0.15">
      <c r="A4" s="303" t="s">
        <v>58</v>
      </c>
      <c r="B4" s="303"/>
      <c r="C4" s="303"/>
      <c r="D4" s="303"/>
      <c r="E4" s="303"/>
      <c r="F4" s="303"/>
      <c r="G4" s="303"/>
      <c r="H4" s="303"/>
      <c r="I4" s="303"/>
      <c r="J4" s="303"/>
      <c r="K4" s="303"/>
      <c r="L4" s="303"/>
      <c r="M4" s="303"/>
      <c r="N4" s="303"/>
      <c r="O4" s="303"/>
      <c r="P4" s="303"/>
      <c r="Q4" s="303"/>
    </row>
    <row r="5" spans="1:21" s="3" customFormat="1" ht="24.6" customHeight="1" x14ac:dyDescent="0.15">
      <c r="A5" s="303" t="s">
        <v>3</v>
      </c>
      <c r="B5" s="303"/>
      <c r="C5" s="303"/>
      <c r="D5" s="303"/>
      <c r="E5" s="303"/>
      <c r="F5" s="303"/>
      <c r="G5" s="303"/>
      <c r="H5" s="303"/>
      <c r="I5" s="303"/>
      <c r="J5" s="303"/>
      <c r="K5" s="303"/>
      <c r="L5" s="303"/>
      <c r="M5" s="303"/>
      <c r="N5" s="303"/>
      <c r="O5" s="303"/>
      <c r="P5" s="303"/>
      <c r="Q5" s="303"/>
    </row>
    <row r="6" spans="1:21" s="3" customFormat="1" ht="24.6" customHeight="1" thickBot="1" x14ac:dyDescent="0.2">
      <c r="A6" s="22"/>
      <c r="B6" s="48"/>
      <c r="C6" s="22"/>
      <c r="D6" s="22"/>
      <c r="E6" s="22"/>
      <c r="F6" s="44"/>
      <c r="G6" s="22"/>
      <c r="H6" s="4"/>
    </row>
    <row r="7" spans="1:21" s="3" customFormat="1" ht="24.75" customHeight="1" thickBot="1" x14ac:dyDescent="0.3">
      <c r="A7" s="2">
        <v>0</v>
      </c>
      <c r="B7" s="6"/>
      <c r="C7" s="7"/>
      <c r="D7" s="7"/>
      <c r="E7" s="300" t="s">
        <v>15</v>
      </c>
      <c r="F7" s="301"/>
      <c r="G7" s="301"/>
      <c r="H7" s="301"/>
      <c r="I7" s="301"/>
      <c r="J7" s="301"/>
      <c r="K7" s="295" t="s">
        <v>56</v>
      </c>
      <c r="L7" s="296"/>
      <c r="M7" s="296"/>
      <c r="N7" s="296"/>
      <c r="O7" s="296"/>
      <c r="P7" s="296"/>
      <c r="Q7" s="297"/>
    </row>
    <row r="8" spans="1:21" s="8" customFormat="1" ht="60.75" thickBot="1" x14ac:dyDescent="0.25">
      <c r="A8" s="15" t="s">
        <v>4</v>
      </c>
      <c r="B8" s="16" t="s">
        <v>5</v>
      </c>
      <c r="C8" s="17" t="s">
        <v>6</v>
      </c>
      <c r="D8" s="149" t="s">
        <v>0</v>
      </c>
      <c r="E8" s="150" t="s">
        <v>18</v>
      </c>
      <c r="F8" s="151" t="s">
        <v>1</v>
      </c>
      <c r="G8" s="152" t="s">
        <v>8</v>
      </c>
      <c r="H8" s="152" t="s">
        <v>10</v>
      </c>
      <c r="I8" s="152" t="s">
        <v>11</v>
      </c>
      <c r="J8" s="175" t="s">
        <v>12</v>
      </c>
      <c r="K8" s="150" t="s">
        <v>16</v>
      </c>
      <c r="L8" s="150" t="s">
        <v>18</v>
      </c>
      <c r="M8" s="152" t="s">
        <v>1</v>
      </c>
      <c r="N8" s="152" t="s">
        <v>17</v>
      </c>
      <c r="O8" s="152" t="s">
        <v>10</v>
      </c>
      <c r="P8" s="152" t="s">
        <v>11</v>
      </c>
      <c r="Q8" s="149" t="s">
        <v>12</v>
      </c>
    </row>
    <row r="9" spans="1:21" s="3" customFormat="1" ht="35.1" customHeight="1" thickBot="1" x14ac:dyDescent="0.2">
      <c r="A9" s="18" t="s">
        <v>43</v>
      </c>
      <c r="B9" s="234" t="s">
        <v>44</v>
      </c>
      <c r="C9" s="154">
        <v>639547.43999999994</v>
      </c>
      <c r="D9" s="155" t="s">
        <v>44</v>
      </c>
      <c r="E9" s="127">
        <v>639547.43999999994</v>
      </c>
      <c r="F9" s="128" t="s">
        <v>62</v>
      </c>
      <c r="G9" s="128" t="s">
        <v>62</v>
      </c>
      <c r="H9" s="128" t="s">
        <v>62</v>
      </c>
      <c r="I9" s="128" t="s">
        <v>62</v>
      </c>
      <c r="J9" s="176" t="s">
        <v>62</v>
      </c>
      <c r="K9" s="174" t="s">
        <v>62</v>
      </c>
      <c r="L9" s="128" t="s">
        <v>62</v>
      </c>
      <c r="M9" s="128" t="s">
        <v>62</v>
      </c>
      <c r="N9" s="128" t="s">
        <v>62</v>
      </c>
      <c r="O9" s="128" t="s">
        <v>62</v>
      </c>
      <c r="P9" s="128" t="s">
        <v>62</v>
      </c>
      <c r="Q9" s="129" t="s">
        <v>62</v>
      </c>
    </row>
    <row r="10" spans="1:21" s="3" customFormat="1" ht="35.1" customHeight="1" thickBot="1" x14ac:dyDescent="0.2">
      <c r="A10" s="18" t="s">
        <v>23</v>
      </c>
      <c r="B10" s="36" t="s">
        <v>39</v>
      </c>
      <c r="C10" s="156">
        <v>155583.24</v>
      </c>
      <c r="D10" s="157">
        <f>23+21</f>
        <v>44</v>
      </c>
      <c r="E10" s="200">
        <v>145739.92000000001</v>
      </c>
      <c r="F10" s="201">
        <f>$U$2*(MIN(E$10:E$11)/E10)</f>
        <v>48.380779953769697</v>
      </c>
      <c r="G10" s="202">
        <f>D10+F10</f>
        <v>92.380779953769689</v>
      </c>
      <c r="H10" s="158"/>
      <c r="I10" s="24">
        <f t="shared" ref="I10:I17" si="0">+$C10/$C$47*H10</f>
        <v>0</v>
      </c>
      <c r="J10" s="177">
        <f t="shared" ref="J10" si="1">+G10*I10</f>
        <v>0</v>
      </c>
      <c r="K10" s="30"/>
      <c r="L10" s="200">
        <f>+$E10*(1-K10)</f>
        <v>145739.92000000001</v>
      </c>
      <c r="M10" s="201">
        <f>$U$2*(MIN(E$10:E$11)/E10)</f>
        <v>48.380779953769697</v>
      </c>
      <c r="N10" s="202">
        <f>$D10+M10</f>
        <v>92.380779953769689</v>
      </c>
      <c r="O10" s="228"/>
      <c r="P10" s="24">
        <f t="shared" ref="P10:P17" si="2">+$C10/$C$47*O10</f>
        <v>0</v>
      </c>
      <c r="Q10" s="25"/>
    </row>
    <row r="11" spans="1:21" s="3" customFormat="1" ht="35.1" customHeight="1" thickBot="1" x14ac:dyDescent="0.2">
      <c r="A11" s="19" t="s">
        <v>28</v>
      </c>
      <c r="B11" s="235" t="s">
        <v>40</v>
      </c>
      <c r="C11" s="251">
        <v>155583.24</v>
      </c>
      <c r="D11" s="244">
        <f>23+21</f>
        <v>44</v>
      </c>
      <c r="E11" s="245">
        <v>128200.2</v>
      </c>
      <c r="F11" s="246">
        <f>$U$2*(MIN(E$10:E$11)/E11)</f>
        <v>55</v>
      </c>
      <c r="G11" s="247">
        <f t="shared" ref="G11" si="3">D11+F11</f>
        <v>99</v>
      </c>
      <c r="H11" s="248">
        <v>1</v>
      </c>
      <c r="I11" s="249">
        <f t="shared" si="0"/>
        <v>9.7302454389351783E-3</v>
      </c>
      <c r="J11" s="250">
        <f>+G11*I11</f>
        <v>0.9632942984545827</v>
      </c>
      <c r="K11" s="189"/>
      <c r="L11" s="203">
        <f t="shared" ref="L11:L17" si="4">+$E11*(1-K11)</f>
        <v>128200.2</v>
      </c>
      <c r="M11" s="204">
        <f>$U$2*(MIN(E$10:E$11)/E11)</f>
        <v>55</v>
      </c>
      <c r="N11" s="118">
        <f t="shared" ref="N11" si="5">$D11+M11</f>
        <v>99</v>
      </c>
      <c r="O11" s="120">
        <v>1</v>
      </c>
      <c r="P11" s="65">
        <f t="shared" si="2"/>
        <v>9.7302454389351783E-3</v>
      </c>
      <c r="Q11" s="66">
        <f t="shared" ref="Q11" si="6">+N11*P11</f>
        <v>0.9632942984545827</v>
      </c>
    </row>
    <row r="12" spans="1:21" s="3" customFormat="1" ht="35.1" customHeight="1" thickBot="1" x14ac:dyDescent="0.2">
      <c r="A12" s="18" t="s">
        <v>24</v>
      </c>
      <c r="B12" s="36" t="s">
        <v>45</v>
      </c>
      <c r="C12" s="171">
        <v>297398.74</v>
      </c>
      <c r="D12" s="163">
        <f>18+21</f>
        <v>39</v>
      </c>
      <c r="E12" s="205">
        <v>291478.06</v>
      </c>
      <c r="F12" s="206">
        <f>$U$2*(MIN($E$12:$E$14)/E12)</f>
        <v>38.940634674184395</v>
      </c>
      <c r="G12" s="96">
        <f t="shared" ref="G12:G46" si="7">D12+F12</f>
        <v>77.940634674184395</v>
      </c>
      <c r="H12" s="164"/>
      <c r="I12" s="100">
        <f>+$C12/$C$47*H12</f>
        <v>0</v>
      </c>
      <c r="J12" s="179">
        <f t="shared" ref="J12:J41" si="8">+G12*I12</f>
        <v>0</v>
      </c>
      <c r="K12" s="183"/>
      <c r="L12" s="205">
        <f t="shared" si="4"/>
        <v>291478.06</v>
      </c>
      <c r="M12" s="206">
        <f>$U$2*(MIN($E$12:$E$14)/E12)</f>
        <v>38.940634674184395</v>
      </c>
      <c r="N12" s="96">
        <f t="shared" ref="N12:N46" si="9">$D12+M12</f>
        <v>77.940634674184395</v>
      </c>
      <c r="O12" s="229"/>
      <c r="P12" s="100">
        <f t="shared" si="2"/>
        <v>0</v>
      </c>
      <c r="Q12" s="165"/>
    </row>
    <row r="13" spans="1:21" s="3" customFormat="1" ht="35.1" customHeight="1" thickBot="1" x14ac:dyDescent="0.2">
      <c r="A13" s="19" t="s">
        <v>29</v>
      </c>
      <c r="B13" s="235" t="s">
        <v>42</v>
      </c>
      <c r="C13" s="236">
        <v>297398.74</v>
      </c>
      <c r="D13" s="237">
        <f>23+21</f>
        <v>44</v>
      </c>
      <c r="E13" s="238">
        <v>206369.83</v>
      </c>
      <c r="F13" s="239">
        <f>$U$2*(MIN($E$12:$E$14)/E13)</f>
        <v>55</v>
      </c>
      <c r="G13" s="240">
        <f t="shared" si="7"/>
        <v>99</v>
      </c>
      <c r="H13" s="241">
        <v>1</v>
      </c>
      <c r="I13" s="242">
        <f t="shared" si="0"/>
        <v>1.859945025846016E-2</v>
      </c>
      <c r="J13" s="243">
        <f>+G13*I13</f>
        <v>1.8413455755875558</v>
      </c>
      <c r="K13" s="50"/>
      <c r="L13" s="207">
        <f t="shared" si="4"/>
        <v>206369.83</v>
      </c>
      <c r="M13" s="208">
        <f>$U$2*(MIN($E$12:$E$14)/E13)</f>
        <v>55</v>
      </c>
      <c r="N13" s="70">
        <f t="shared" si="9"/>
        <v>99</v>
      </c>
      <c r="O13" s="51">
        <v>1</v>
      </c>
      <c r="P13" s="52">
        <f t="shared" si="2"/>
        <v>1.859945025846016E-2</v>
      </c>
      <c r="Q13" s="73">
        <f t="shared" ref="Q13:Q46" si="10">+N13*P13</f>
        <v>1.8413455755875558</v>
      </c>
    </row>
    <row r="14" spans="1:21" s="3" customFormat="1" ht="35.1" customHeight="1" thickBot="1" x14ac:dyDescent="0.2">
      <c r="A14" s="20"/>
      <c r="B14" s="38" t="s">
        <v>41</v>
      </c>
      <c r="C14" s="171">
        <v>297398.74</v>
      </c>
      <c r="D14" s="168">
        <f>21.5+21</f>
        <v>42.5</v>
      </c>
      <c r="E14" s="209">
        <v>214338.3</v>
      </c>
      <c r="F14" s="210">
        <f>$U$2*(MIN($E$12:$E$14)/E14)</f>
        <v>52.955261145581538</v>
      </c>
      <c r="G14" s="104">
        <f t="shared" si="7"/>
        <v>95.455261145581545</v>
      </c>
      <c r="H14" s="169"/>
      <c r="I14" s="108">
        <f t="shared" si="0"/>
        <v>0</v>
      </c>
      <c r="J14" s="181">
        <f t="shared" si="8"/>
        <v>0</v>
      </c>
      <c r="K14" s="185"/>
      <c r="L14" s="209">
        <f t="shared" si="4"/>
        <v>214338.3</v>
      </c>
      <c r="M14" s="210">
        <f>$U$2*(MIN($E$12:$E$14)/E14)</f>
        <v>52.955261145581538</v>
      </c>
      <c r="N14" s="211">
        <f t="shared" si="9"/>
        <v>95.455261145581545</v>
      </c>
      <c r="O14" s="190"/>
      <c r="P14" s="191"/>
      <c r="Q14" s="192"/>
    </row>
    <row r="15" spans="1:21" s="3" customFormat="1" ht="35.1" customHeight="1" thickBot="1" x14ac:dyDescent="0.2">
      <c r="A15" s="18" t="s">
        <v>25</v>
      </c>
      <c r="B15" s="252" t="s">
        <v>46</v>
      </c>
      <c r="C15" s="236">
        <v>89645.27</v>
      </c>
      <c r="D15" s="253">
        <f>23+21</f>
        <v>44</v>
      </c>
      <c r="E15" s="254">
        <v>73484</v>
      </c>
      <c r="F15" s="255">
        <f>$U$2*(MIN($E$15:$E$17)/E15)</f>
        <v>55</v>
      </c>
      <c r="G15" s="256">
        <f t="shared" si="7"/>
        <v>99</v>
      </c>
      <c r="H15" s="257">
        <v>1</v>
      </c>
      <c r="I15" s="258">
        <f t="shared" si="0"/>
        <v>5.6064552938967765E-3</v>
      </c>
      <c r="J15" s="259">
        <f>+G15*I15</f>
        <v>0.5550390740957809</v>
      </c>
      <c r="K15" s="54"/>
      <c r="L15" s="212">
        <f t="shared" si="4"/>
        <v>73484</v>
      </c>
      <c r="M15" s="213">
        <f>$U$2*(MIN($E$15:$E$17)/E15)</f>
        <v>55</v>
      </c>
      <c r="N15" s="114">
        <f t="shared" si="9"/>
        <v>99</v>
      </c>
      <c r="O15" s="144">
        <v>1</v>
      </c>
      <c r="P15" s="55">
        <f t="shared" si="2"/>
        <v>5.6064552938967765E-3</v>
      </c>
      <c r="Q15" s="56">
        <f t="shared" si="10"/>
        <v>0.5550390740957809</v>
      </c>
    </row>
    <row r="16" spans="1:21" s="3" customFormat="1" ht="35.1" customHeight="1" thickBot="1" x14ac:dyDescent="0.2">
      <c r="A16" s="290" t="s">
        <v>30</v>
      </c>
      <c r="B16" s="37" t="s">
        <v>42</v>
      </c>
      <c r="C16" s="171">
        <v>89645.27</v>
      </c>
      <c r="D16" s="172">
        <f>23+21</f>
        <v>44</v>
      </c>
      <c r="E16" s="214">
        <v>79815.28</v>
      </c>
      <c r="F16" s="215">
        <f>$U$2*(MIN($E$15:$E$17)/E16)</f>
        <v>50.637171228366299</v>
      </c>
      <c r="G16" s="216">
        <f t="shared" si="7"/>
        <v>94.637171228366299</v>
      </c>
      <c r="H16" s="153"/>
      <c r="I16" s="26">
        <f t="shared" si="0"/>
        <v>0</v>
      </c>
      <c r="J16" s="182">
        <f t="shared" si="8"/>
        <v>0</v>
      </c>
      <c r="K16" s="31"/>
      <c r="L16" s="214">
        <f t="shared" si="4"/>
        <v>79815.28</v>
      </c>
      <c r="M16" s="215">
        <f>$U$2*(MIN($E$15:$E$17)/E16)</f>
        <v>50.637171228366299</v>
      </c>
      <c r="N16" s="216">
        <f t="shared" si="9"/>
        <v>94.637171228366299</v>
      </c>
      <c r="O16" s="230"/>
      <c r="P16" s="26">
        <f t="shared" si="2"/>
        <v>0</v>
      </c>
      <c r="Q16" s="27"/>
    </row>
    <row r="17" spans="1:17" s="3" customFormat="1" ht="35.1" customHeight="1" thickBot="1" x14ac:dyDescent="0.2">
      <c r="A17" s="291"/>
      <c r="B17" s="38" t="s">
        <v>45</v>
      </c>
      <c r="C17" s="171">
        <v>89645.27</v>
      </c>
      <c r="D17" s="159">
        <f>18+21</f>
        <v>39</v>
      </c>
      <c r="E17" s="217">
        <v>89605.28</v>
      </c>
      <c r="F17" s="218">
        <f>$U$2*(MIN($E$15:$E$17)/E17)</f>
        <v>45.104708115414631</v>
      </c>
      <c r="G17" s="219">
        <f t="shared" si="7"/>
        <v>84.104708115414638</v>
      </c>
      <c r="H17" s="160"/>
      <c r="I17" s="28">
        <f t="shared" si="0"/>
        <v>0</v>
      </c>
      <c r="J17" s="178">
        <f t="shared" si="8"/>
        <v>0</v>
      </c>
      <c r="K17" s="49"/>
      <c r="L17" s="217">
        <f t="shared" si="4"/>
        <v>89605.28</v>
      </c>
      <c r="M17" s="218">
        <f>$U$2*(MIN($E$15:$E$17)/E17)</f>
        <v>45.104708115414631</v>
      </c>
      <c r="N17" s="219">
        <f t="shared" si="9"/>
        <v>84.104708115414638</v>
      </c>
      <c r="O17" s="161"/>
      <c r="P17" s="28">
        <f t="shared" si="2"/>
        <v>0</v>
      </c>
      <c r="Q17" s="29"/>
    </row>
    <row r="18" spans="1:17" s="3" customFormat="1" ht="35.1" customHeight="1" thickBot="1" x14ac:dyDescent="0.2">
      <c r="A18" s="18" t="s">
        <v>47</v>
      </c>
      <c r="B18" s="234" t="s">
        <v>44</v>
      </c>
      <c r="C18" s="171">
        <v>581371.85</v>
      </c>
      <c r="D18" s="155" t="s">
        <v>44</v>
      </c>
      <c r="E18" s="127">
        <v>581371.85</v>
      </c>
      <c r="F18" s="128" t="s">
        <v>62</v>
      </c>
      <c r="G18" s="128" t="s">
        <v>62</v>
      </c>
      <c r="H18" s="128" t="s">
        <v>62</v>
      </c>
      <c r="I18" s="128" t="s">
        <v>62</v>
      </c>
      <c r="J18" s="176" t="s">
        <v>62</v>
      </c>
      <c r="K18" s="174" t="s">
        <v>62</v>
      </c>
      <c r="L18" s="128" t="s">
        <v>62</v>
      </c>
      <c r="M18" s="128" t="s">
        <v>62</v>
      </c>
      <c r="N18" s="128" t="s">
        <v>62</v>
      </c>
      <c r="O18" s="128" t="s">
        <v>62</v>
      </c>
      <c r="P18" s="128" t="s">
        <v>62</v>
      </c>
      <c r="Q18" s="129" t="s">
        <v>62</v>
      </c>
    </row>
    <row r="19" spans="1:17" s="3" customFormat="1" ht="35.1" customHeight="1" thickBot="1" x14ac:dyDescent="0.2">
      <c r="A19" s="18" t="s">
        <v>26</v>
      </c>
      <c r="B19" s="36" t="s">
        <v>46</v>
      </c>
      <c r="C19" s="171">
        <v>151503.4</v>
      </c>
      <c r="D19" s="163">
        <f t="shared" ref="D19:D32" si="11">23+21</f>
        <v>44</v>
      </c>
      <c r="E19" s="205">
        <v>113568</v>
      </c>
      <c r="F19" s="206">
        <f>$U$2*(MIN($E$19:$E$20)/E19)</f>
        <v>46.773710904480133</v>
      </c>
      <c r="G19" s="96">
        <f t="shared" si="7"/>
        <v>90.77371090448014</v>
      </c>
      <c r="H19" s="164"/>
      <c r="I19" s="100">
        <f t="shared" ref="I19:I25" si="12">+$C19/$C$47*H19</f>
        <v>0</v>
      </c>
      <c r="J19" s="179">
        <f t="shared" si="8"/>
        <v>0</v>
      </c>
      <c r="K19" s="183"/>
      <c r="L19" s="205">
        <f>+$E19*(1-K19)</f>
        <v>113568</v>
      </c>
      <c r="M19" s="220">
        <f>$U$2*(MIN($E$19:$E$20)/E19)</f>
        <v>46.773710904480133</v>
      </c>
      <c r="N19" s="96">
        <f t="shared" si="9"/>
        <v>90.77371090448014</v>
      </c>
      <c r="O19" s="229"/>
      <c r="P19" s="100">
        <f t="shared" ref="P19:P24" si="13">+$C19/$C$47*O19</f>
        <v>0</v>
      </c>
      <c r="Q19" s="165"/>
    </row>
    <row r="20" spans="1:17" s="3" customFormat="1" ht="35.1" customHeight="1" thickBot="1" x14ac:dyDescent="0.2">
      <c r="A20" s="19" t="s">
        <v>31</v>
      </c>
      <c r="B20" s="235" t="s">
        <v>42</v>
      </c>
      <c r="C20" s="236">
        <v>151503.4</v>
      </c>
      <c r="D20" s="244">
        <f t="shared" si="11"/>
        <v>44</v>
      </c>
      <c r="E20" s="245">
        <v>96581.759999999995</v>
      </c>
      <c r="F20" s="246">
        <f>$U$2*(MIN($E$19:$E$20)/E20)</f>
        <v>55</v>
      </c>
      <c r="G20" s="247">
        <f t="shared" si="7"/>
        <v>99</v>
      </c>
      <c r="H20" s="248">
        <v>1</v>
      </c>
      <c r="I20" s="249">
        <f t="shared" si="12"/>
        <v>9.4750904199782191E-3</v>
      </c>
      <c r="J20" s="250">
        <f>+G20*I20</f>
        <v>0.93803395157784364</v>
      </c>
      <c r="K20" s="189"/>
      <c r="L20" s="203">
        <f t="shared" ref="L20:L38" si="14">+$E20*(1-K20)</f>
        <v>96581.759999999995</v>
      </c>
      <c r="M20" s="204">
        <f>$U$2*(MIN($E$19:$E$20)/E20)</f>
        <v>55</v>
      </c>
      <c r="N20" s="118">
        <f t="shared" si="9"/>
        <v>99</v>
      </c>
      <c r="O20" s="120">
        <v>1</v>
      </c>
      <c r="P20" s="65">
        <f t="shared" si="13"/>
        <v>9.4750904199782191E-3</v>
      </c>
      <c r="Q20" s="66">
        <f>+N20*P20</f>
        <v>0.93803395157784364</v>
      </c>
    </row>
    <row r="21" spans="1:17" s="3" customFormat="1" ht="35.1" customHeight="1" thickBot="1" x14ac:dyDescent="0.2">
      <c r="A21" s="18" t="s">
        <v>48</v>
      </c>
      <c r="B21" s="280" t="s">
        <v>46</v>
      </c>
      <c r="C21" s="261">
        <v>414980.29</v>
      </c>
      <c r="D21" s="260">
        <f t="shared" si="11"/>
        <v>44</v>
      </c>
      <c r="E21" s="262">
        <v>411328.08</v>
      </c>
      <c r="F21" s="263">
        <f>$U$2*(MIN($E$21)/E21)</f>
        <v>55</v>
      </c>
      <c r="G21" s="264">
        <f t="shared" si="7"/>
        <v>99</v>
      </c>
      <c r="H21" s="265">
        <v>1</v>
      </c>
      <c r="I21" s="266">
        <f t="shared" si="12"/>
        <v>2.5953053002498842E-2</v>
      </c>
      <c r="J21" s="267">
        <f>+G21*I21</f>
        <v>2.5693522472473855</v>
      </c>
      <c r="K21" s="193"/>
      <c r="L21" s="221">
        <f t="shared" si="14"/>
        <v>411328.08</v>
      </c>
      <c r="M21" s="222">
        <f>$U$2*(MIN($E$21)/E21)</f>
        <v>55</v>
      </c>
      <c r="N21" s="132">
        <f t="shared" si="9"/>
        <v>99</v>
      </c>
      <c r="O21" s="135">
        <v>1</v>
      </c>
      <c r="P21" s="136">
        <f t="shared" si="13"/>
        <v>2.5953053002498842E-2</v>
      </c>
      <c r="Q21" s="194">
        <f>+N21*P21</f>
        <v>2.5693522472473855</v>
      </c>
    </row>
    <row r="22" spans="1:17" s="3" customFormat="1" ht="35.1" customHeight="1" thickBot="1" x14ac:dyDescent="0.2">
      <c r="A22" s="18" t="s">
        <v>27</v>
      </c>
      <c r="B22" s="36" t="s">
        <v>46</v>
      </c>
      <c r="C22" s="173">
        <v>548434.80000000005</v>
      </c>
      <c r="D22" s="163">
        <f t="shared" si="11"/>
        <v>44</v>
      </c>
      <c r="E22" s="205">
        <v>547014</v>
      </c>
      <c r="F22" s="206">
        <f>$U$2*(MIN($E$22:$E$24)/E22)</f>
        <v>35.328267375240856</v>
      </c>
      <c r="G22" s="96">
        <f>D22+F22</f>
        <v>79.328267375240856</v>
      </c>
      <c r="H22" s="164"/>
      <c r="I22" s="100">
        <f t="shared" si="12"/>
        <v>0</v>
      </c>
      <c r="J22" s="179">
        <f t="shared" si="8"/>
        <v>0</v>
      </c>
      <c r="K22" s="183"/>
      <c r="L22" s="205">
        <f t="shared" si="14"/>
        <v>547014</v>
      </c>
      <c r="M22" s="206">
        <f>$U$2*(MIN($L$22:$L$24)/E22)</f>
        <v>35.328267375240856</v>
      </c>
      <c r="N22" s="96">
        <f>$D22+M22</f>
        <v>79.328267375240856</v>
      </c>
      <c r="O22" s="229"/>
      <c r="P22" s="100">
        <f t="shared" si="13"/>
        <v>0</v>
      </c>
      <c r="Q22" s="165">
        <f t="shared" si="10"/>
        <v>0</v>
      </c>
    </row>
    <row r="23" spans="1:17" s="3" customFormat="1" ht="35.1" customHeight="1" thickBot="1" x14ac:dyDescent="0.2">
      <c r="A23" s="292" t="s">
        <v>32</v>
      </c>
      <c r="B23" s="235" t="s">
        <v>42</v>
      </c>
      <c r="C23" s="268">
        <v>548434.80000000005</v>
      </c>
      <c r="D23" s="237">
        <f t="shared" si="11"/>
        <v>44</v>
      </c>
      <c r="E23" s="238">
        <v>351364.67</v>
      </c>
      <c r="F23" s="239">
        <f>$U$2*(MIN($E$22:$E$24)/E23)</f>
        <v>55</v>
      </c>
      <c r="G23" s="240">
        <f t="shared" ref="G23:G24" si="15">D23+F23</f>
        <v>99</v>
      </c>
      <c r="H23" s="241">
        <v>1</v>
      </c>
      <c r="I23" s="242">
        <f t="shared" si="12"/>
        <v>3.4299357766642009E-2</v>
      </c>
      <c r="J23" s="243">
        <f>+G23*I23</f>
        <v>3.395636418897559</v>
      </c>
      <c r="K23" s="184"/>
      <c r="L23" s="223">
        <f t="shared" si="14"/>
        <v>351364.67</v>
      </c>
      <c r="M23" s="224">
        <f>$U$2*(MIN($L$22:$L$24)/E23)</f>
        <v>55</v>
      </c>
      <c r="N23" s="80">
        <f>$D23+M23</f>
        <v>99</v>
      </c>
      <c r="O23" s="77"/>
      <c r="P23" s="78"/>
      <c r="Q23" s="167"/>
    </row>
    <row r="24" spans="1:17" s="3" customFormat="1" ht="35.1" customHeight="1" thickBot="1" x14ac:dyDescent="0.2">
      <c r="A24" s="293"/>
      <c r="B24" s="38" t="s">
        <v>49</v>
      </c>
      <c r="C24" s="173">
        <v>548434.80000000005</v>
      </c>
      <c r="D24" s="168">
        <f t="shared" si="11"/>
        <v>44</v>
      </c>
      <c r="E24" s="209">
        <v>547770.84</v>
      </c>
      <c r="F24" s="210">
        <f>$U$2*(MIN($E$22:$E$24)/E24)</f>
        <v>35.279455273668823</v>
      </c>
      <c r="G24" s="104">
        <f t="shared" si="15"/>
        <v>79.279455273668816</v>
      </c>
      <c r="H24" s="169"/>
      <c r="I24" s="108">
        <f t="shared" si="12"/>
        <v>0</v>
      </c>
      <c r="J24" s="181">
        <f t="shared" si="8"/>
        <v>0</v>
      </c>
      <c r="K24" s="67">
        <v>5.0000000000000001E-3</v>
      </c>
      <c r="L24" s="203">
        <f t="shared" si="14"/>
        <v>545031.98579999991</v>
      </c>
      <c r="M24" s="204">
        <f>$U$2*(MIN($L$22:$L$24)/E24)</f>
        <v>35.279455273668823</v>
      </c>
      <c r="N24" s="118">
        <f>$D24+M24</f>
        <v>79.279455273668816</v>
      </c>
      <c r="O24" s="120">
        <v>1</v>
      </c>
      <c r="P24" s="65">
        <f t="shared" si="13"/>
        <v>3.4299357766642009E-2</v>
      </c>
      <c r="Q24" s="66">
        <f t="shared" si="10"/>
        <v>2.7192343999760604</v>
      </c>
    </row>
    <row r="25" spans="1:17" s="3" customFormat="1" ht="35.1" customHeight="1" thickBot="1" x14ac:dyDescent="0.2">
      <c r="A25" s="19" t="s">
        <v>50</v>
      </c>
      <c r="B25" s="252" t="s">
        <v>46</v>
      </c>
      <c r="C25" s="268">
        <v>2106617.15</v>
      </c>
      <c r="D25" s="253">
        <f t="shared" si="11"/>
        <v>44</v>
      </c>
      <c r="E25" s="254">
        <v>1727236.12</v>
      </c>
      <c r="F25" s="255">
        <f>$U$2*(MIN($E$25:$E$27)/E25)</f>
        <v>55</v>
      </c>
      <c r="G25" s="256">
        <f t="shared" si="7"/>
        <v>99</v>
      </c>
      <c r="H25" s="257">
        <v>1</v>
      </c>
      <c r="I25" s="258">
        <f t="shared" si="12"/>
        <v>0.13174877908038246</v>
      </c>
      <c r="J25" s="259">
        <f t="shared" si="8"/>
        <v>13.043129128957863</v>
      </c>
      <c r="K25" s="183"/>
      <c r="L25" s="205">
        <f t="shared" si="14"/>
        <v>1727236.12</v>
      </c>
      <c r="M25" s="204">
        <f>$U$2*(MIN($L$22:$L$24)/E25)</f>
        <v>11.188427931903137</v>
      </c>
      <c r="N25" s="96">
        <f>$D25+M25</f>
        <v>55.188427931903135</v>
      </c>
      <c r="O25" s="123"/>
      <c r="P25" s="100"/>
      <c r="Q25" s="165"/>
    </row>
    <row r="26" spans="1:17" s="3" customFormat="1" ht="35.1" customHeight="1" thickBot="1" x14ac:dyDescent="0.2">
      <c r="A26" s="59"/>
      <c r="B26" s="37" t="s">
        <v>42</v>
      </c>
      <c r="C26" s="173">
        <v>2106617.15</v>
      </c>
      <c r="D26" s="166">
        <f t="shared" si="11"/>
        <v>44</v>
      </c>
      <c r="E26" s="223">
        <v>2101973.66</v>
      </c>
      <c r="F26" s="224">
        <f>$U$2*(MIN($E$25:$E$27)/E26)</f>
        <v>45.194660812257752</v>
      </c>
      <c r="G26" s="80">
        <f t="shared" si="7"/>
        <v>89.194660812257752</v>
      </c>
      <c r="H26" s="162"/>
      <c r="I26" s="78"/>
      <c r="J26" s="180"/>
      <c r="K26" s="184"/>
      <c r="L26" s="223">
        <f t="shared" si="14"/>
        <v>2101973.66</v>
      </c>
      <c r="M26" s="224">
        <f>$U$2*(MIN($E$25:$E$27)/E26)</f>
        <v>45.194660812257752</v>
      </c>
      <c r="N26" s="80">
        <f t="shared" ref="N26:N27" si="16">$D26+M26</f>
        <v>89.194660812257752</v>
      </c>
      <c r="O26" s="77"/>
      <c r="P26" s="78"/>
      <c r="Q26" s="167"/>
    </row>
    <row r="27" spans="1:17" s="3" customFormat="1" ht="35.1" customHeight="1" thickBot="1" x14ac:dyDescent="0.2">
      <c r="A27" s="20"/>
      <c r="B27" s="37" t="s">
        <v>49</v>
      </c>
      <c r="C27" s="173">
        <v>2106617.15</v>
      </c>
      <c r="D27" s="168">
        <f t="shared" si="11"/>
        <v>44</v>
      </c>
      <c r="E27" s="209">
        <v>2070116.25</v>
      </c>
      <c r="F27" s="210">
        <f>$U$2*(MIN($E$25:$E$27)/E27)</f>
        <v>45.890169984415131</v>
      </c>
      <c r="G27" s="104">
        <f t="shared" si="7"/>
        <v>89.890169984415138</v>
      </c>
      <c r="H27" s="169"/>
      <c r="I27" s="108">
        <f t="shared" ref="I27:I34" si="17">+$C27/$C$47*H27</f>
        <v>0</v>
      </c>
      <c r="J27" s="181">
        <f t="shared" si="8"/>
        <v>0</v>
      </c>
      <c r="K27" s="67">
        <v>5.0000000000000001E-3</v>
      </c>
      <c r="L27" s="203">
        <f t="shared" si="14"/>
        <v>2059765.66875</v>
      </c>
      <c r="M27" s="204">
        <f>$U$2*(MIN($E$25:$E$27)/E27)</f>
        <v>45.890169984415131</v>
      </c>
      <c r="N27" s="118">
        <f t="shared" si="16"/>
        <v>89.890169984415138</v>
      </c>
      <c r="O27" s="120">
        <v>1</v>
      </c>
      <c r="P27" s="65">
        <f>+$C27/$C$47*O27</f>
        <v>0.13174877908038246</v>
      </c>
      <c r="Q27" s="66">
        <f t="shared" si="10"/>
        <v>11.842920146774736</v>
      </c>
    </row>
    <row r="28" spans="1:17" s="3" customFormat="1" ht="35.1" customHeight="1" thickBot="1" x14ac:dyDescent="0.2">
      <c r="A28" s="19" t="s">
        <v>33</v>
      </c>
      <c r="B28" s="268" t="s">
        <v>42</v>
      </c>
      <c r="C28" s="268">
        <v>205615.76</v>
      </c>
      <c r="D28" s="260">
        <f t="shared" si="11"/>
        <v>44</v>
      </c>
      <c r="E28" s="262">
        <v>172835.55</v>
      </c>
      <c r="F28" s="263">
        <f>$U$2*(MIN($E$28)/E28)</f>
        <v>55</v>
      </c>
      <c r="G28" s="264">
        <f t="shared" si="7"/>
        <v>99</v>
      </c>
      <c r="H28" s="265">
        <v>1</v>
      </c>
      <c r="I28" s="266">
        <f t="shared" si="17"/>
        <v>1.2859301624732783E-2</v>
      </c>
      <c r="J28" s="267">
        <f>+G28*I28</f>
        <v>1.2730708608485455</v>
      </c>
      <c r="K28" s="195"/>
      <c r="L28" s="221">
        <f t="shared" si="14"/>
        <v>172835.55</v>
      </c>
      <c r="M28" s="222">
        <f>$U$2*(MIN($E$28)/E28)</f>
        <v>55</v>
      </c>
      <c r="N28" s="132">
        <f t="shared" si="9"/>
        <v>99</v>
      </c>
      <c r="O28" s="135">
        <v>1</v>
      </c>
      <c r="P28" s="136">
        <f>+$C28/$C$47*O28</f>
        <v>1.2859301624732783E-2</v>
      </c>
      <c r="Q28" s="194">
        <f t="shared" si="10"/>
        <v>1.2730708608485455</v>
      </c>
    </row>
    <row r="29" spans="1:17" s="3" customFormat="1" ht="35.1" customHeight="1" thickBot="1" x14ac:dyDescent="0.2">
      <c r="A29" s="304" t="s">
        <v>34</v>
      </c>
      <c r="B29" s="36" t="s">
        <v>46</v>
      </c>
      <c r="C29" s="173">
        <v>541844.42000000004</v>
      </c>
      <c r="D29" s="163">
        <f t="shared" si="11"/>
        <v>44</v>
      </c>
      <c r="E29" s="205">
        <v>506631.8</v>
      </c>
      <c r="F29" s="206">
        <f>$U$2*(MIN($E$29:$E$30)/E29)</f>
        <v>52.562729086488453</v>
      </c>
      <c r="G29" s="96">
        <f t="shared" si="7"/>
        <v>96.562729086488446</v>
      </c>
      <c r="H29" s="164"/>
      <c r="I29" s="100">
        <f t="shared" si="17"/>
        <v>0</v>
      </c>
      <c r="J29" s="179">
        <f t="shared" si="8"/>
        <v>0</v>
      </c>
      <c r="K29" s="183"/>
      <c r="L29" s="205">
        <f t="shared" si="14"/>
        <v>506631.8</v>
      </c>
      <c r="M29" s="206">
        <f>$U$2*(MIN($E$29:$E$30)/E29)</f>
        <v>52.562729086488453</v>
      </c>
      <c r="N29" s="96">
        <f t="shared" si="9"/>
        <v>96.562729086488446</v>
      </c>
      <c r="O29" s="123"/>
      <c r="P29" s="100"/>
      <c r="Q29" s="165"/>
    </row>
    <row r="30" spans="1:17" s="3" customFormat="1" ht="35.1" customHeight="1" thickBot="1" x14ac:dyDescent="0.2">
      <c r="A30" s="304"/>
      <c r="B30" s="235" t="s">
        <v>42</v>
      </c>
      <c r="C30" s="268">
        <v>541844.42000000004</v>
      </c>
      <c r="D30" s="244">
        <f t="shared" si="11"/>
        <v>44</v>
      </c>
      <c r="E30" s="245">
        <v>484180.91</v>
      </c>
      <c r="F30" s="246">
        <f>$U$2*(MIN($E$29:$E$30)/E30)</f>
        <v>55</v>
      </c>
      <c r="G30" s="247">
        <f t="shared" si="7"/>
        <v>99</v>
      </c>
      <c r="H30" s="248">
        <v>1</v>
      </c>
      <c r="I30" s="249">
        <f t="shared" si="17"/>
        <v>3.3887192452846965E-2</v>
      </c>
      <c r="J30" s="250">
        <f>+G30*I30</f>
        <v>3.3548320528318496</v>
      </c>
      <c r="K30" s="189"/>
      <c r="L30" s="203">
        <f t="shared" si="14"/>
        <v>484180.91</v>
      </c>
      <c r="M30" s="204">
        <f>$U$2*(MIN($E$29:$E$30)/E30)</f>
        <v>55</v>
      </c>
      <c r="N30" s="118">
        <f t="shared" si="9"/>
        <v>99</v>
      </c>
      <c r="O30" s="120">
        <v>1</v>
      </c>
      <c r="P30" s="65">
        <f>+$C30/$C$47*O30</f>
        <v>3.3887192452846965E-2</v>
      </c>
      <c r="Q30" s="66">
        <f t="shared" si="10"/>
        <v>3.3548320528318496</v>
      </c>
    </row>
    <row r="31" spans="1:17" s="3" customFormat="1" ht="35.1" customHeight="1" thickBot="1" x14ac:dyDescent="0.2">
      <c r="A31" s="305" t="s">
        <v>35</v>
      </c>
      <c r="B31" s="36" t="s">
        <v>46</v>
      </c>
      <c r="C31" s="173">
        <v>134485.44</v>
      </c>
      <c r="D31" s="163">
        <f t="shared" si="11"/>
        <v>44</v>
      </c>
      <c r="E31" s="205">
        <v>133264.04</v>
      </c>
      <c r="F31" s="206">
        <f>$U$2*(MIN($E$31:$E$32)/E31)</f>
        <v>52.83979046410419</v>
      </c>
      <c r="G31" s="96">
        <f t="shared" si="7"/>
        <v>96.839790464104198</v>
      </c>
      <c r="H31" s="164"/>
      <c r="I31" s="100">
        <f t="shared" si="17"/>
        <v>0</v>
      </c>
      <c r="J31" s="179">
        <f t="shared" si="8"/>
        <v>0</v>
      </c>
      <c r="K31" s="187"/>
      <c r="L31" s="205">
        <f t="shared" si="14"/>
        <v>133264.04</v>
      </c>
      <c r="M31" s="206">
        <f>$U$2*(MIN($E$31:$E$32)/E31)</f>
        <v>52.83979046410419</v>
      </c>
      <c r="N31" s="96">
        <f t="shared" si="9"/>
        <v>96.839790464104198</v>
      </c>
      <c r="O31" s="123"/>
      <c r="P31" s="100"/>
      <c r="Q31" s="165"/>
    </row>
    <row r="32" spans="1:17" s="3" customFormat="1" ht="35.1" customHeight="1" thickBot="1" x14ac:dyDescent="0.2">
      <c r="A32" s="293"/>
      <c r="B32" s="235" t="s">
        <v>42</v>
      </c>
      <c r="C32" s="268">
        <v>134485.44</v>
      </c>
      <c r="D32" s="244">
        <f t="shared" si="11"/>
        <v>44</v>
      </c>
      <c r="E32" s="245">
        <v>128029.89</v>
      </c>
      <c r="F32" s="246">
        <f>$U$2*(MIN($E$31:$E$32)/E32)</f>
        <v>55</v>
      </c>
      <c r="G32" s="247">
        <f t="shared" si="7"/>
        <v>99</v>
      </c>
      <c r="H32" s="248">
        <v>1</v>
      </c>
      <c r="I32" s="249">
        <f t="shared" si="17"/>
        <v>8.4107795875904799E-3</v>
      </c>
      <c r="J32" s="250">
        <f>+G32*I32</f>
        <v>0.83266717917145749</v>
      </c>
      <c r="K32" s="67"/>
      <c r="L32" s="203">
        <f t="shared" si="14"/>
        <v>128029.89</v>
      </c>
      <c r="M32" s="204">
        <f>$U$2*(MIN($E$31:$E$32)/E32)</f>
        <v>55</v>
      </c>
      <c r="N32" s="118">
        <f t="shared" si="9"/>
        <v>99</v>
      </c>
      <c r="O32" s="120">
        <v>1</v>
      </c>
      <c r="P32" s="65">
        <f>+$C32/$C$47*O32</f>
        <v>8.4107795875904799E-3</v>
      </c>
      <c r="Q32" s="66">
        <f t="shared" si="10"/>
        <v>0.83266717917145749</v>
      </c>
    </row>
    <row r="33" spans="1:17" s="3" customFormat="1" ht="35.1" customHeight="1" thickBot="1" x14ac:dyDescent="0.2">
      <c r="A33" s="294" t="s">
        <v>36</v>
      </c>
      <c r="B33" s="46" t="s">
        <v>51</v>
      </c>
      <c r="C33" s="173">
        <v>8724082.0099999998</v>
      </c>
      <c r="D33" s="163">
        <f>20.5+21</f>
        <v>41.5</v>
      </c>
      <c r="E33" s="205">
        <v>8680893.7599999998</v>
      </c>
      <c r="F33" s="206">
        <f t="shared" ref="F33:F38" si="18">$U$2*(MIN($E$33:$E$38)/E33)</f>
        <v>46.803165230765359</v>
      </c>
      <c r="G33" s="96">
        <f t="shared" si="7"/>
        <v>88.303165230765359</v>
      </c>
      <c r="H33" s="164"/>
      <c r="I33" s="100">
        <f t="shared" si="17"/>
        <v>0</v>
      </c>
      <c r="J33" s="179">
        <f t="shared" si="8"/>
        <v>0</v>
      </c>
      <c r="K33" s="183">
        <v>0</v>
      </c>
      <c r="L33" s="205">
        <f t="shared" si="14"/>
        <v>8680893.7599999998</v>
      </c>
      <c r="M33" s="206">
        <f t="shared" ref="M33:M38" si="19">$U$2*(MIN($E$33:$E$38)/E33)</f>
        <v>46.803165230765359</v>
      </c>
      <c r="N33" s="96">
        <f t="shared" si="9"/>
        <v>88.303165230765359</v>
      </c>
      <c r="O33" s="123"/>
      <c r="P33" s="100"/>
      <c r="Q33" s="165"/>
    </row>
    <row r="34" spans="1:17" s="3" customFormat="1" ht="35.1" customHeight="1" thickBot="1" x14ac:dyDescent="0.2">
      <c r="A34" s="292"/>
      <c r="B34" s="269" t="s">
        <v>46</v>
      </c>
      <c r="C34" s="268">
        <v>8724082.0099999998</v>
      </c>
      <c r="D34" s="237">
        <f>23+21</f>
        <v>44</v>
      </c>
      <c r="E34" s="238">
        <v>7387151</v>
      </c>
      <c r="F34" s="239">
        <f t="shared" si="18"/>
        <v>55</v>
      </c>
      <c r="G34" s="240">
        <f t="shared" si="7"/>
        <v>99</v>
      </c>
      <c r="H34" s="241">
        <v>1</v>
      </c>
      <c r="I34" s="242">
        <f t="shared" si="17"/>
        <v>0.54560799213783528</v>
      </c>
      <c r="J34" s="243">
        <f>+G34*I34</f>
        <v>54.015191221645694</v>
      </c>
      <c r="K34" s="184"/>
      <c r="L34" s="223">
        <f t="shared" si="14"/>
        <v>7387151</v>
      </c>
      <c r="M34" s="224">
        <f t="shared" si="19"/>
        <v>55</v>
      </c>
      <c r="N34" s="80">
        <f t="shared" si="9"/>
        <v>99</v>
      </c>
      <c r="O34" s="77">
        <v>1</v>
      </c>
      <c r="P34" s="78"/>
      <c r="Q34" s="167"/>
    </row>
    <row r="35" spans="1:17" s="3" customFormat="1" ht="35.1" customHeight="1" thickBot="1" x14ac:dyDescent="0.2">
      <c r="A35" s="292"/>
      <c r="B35" s="46" t="s">
        <v>52</v>
      </c>
      <c r="C35" s="173">
        <v>8724082.0099999998</v>
      </c>
      <c r="D35" s="166">
        <f>22+21</f>
        <v>43</v>
      </c>
      <c r="E35" s="223">
        <v>8585764.5199999996</v>
      </c>
      <c r="F35" s="224">
        <f t="shared" si="18"/>
        <v>47.321738681926959</v>
      </c>
      <c r="G35" s="80">
        <f t="shared" si="7"/>
        <v>90.321738681926959</v>
      </c>
      <c r="H35" s="162"/>
      <c r="I35" s="78"/>
      <c r="J35" s="180"/>
      <c r="K35" s="184"/>
      <c r="L35" s="223">
        <f t="shared" si="14"/>
        <v>8585764.5199999996</v>
      </c>
      <c r="M35" s="224">
        <f t="shared" si="19"/>
        <v>47.321738681926959</v>
      </c>
      <c r="N35" s="80">
        <f t="shared" si="9"/>
        <v>90.321738681926959</v>
      </c>
      <c r="O35" s="77"/>
      <c r="P35" s="78">
        <f t="shared" ref="P35:P37" si="20">+$C35/$C$47*O35</f>
        <v>0</v>
      </c>
      <c r="Q35" s="167"/>
    </row>
    <row r="36" spans="1:17" s="3" customFormat="1" ht="35.1" customHeight="1" thickBot="1" x14ac:dyDescent="0.2">
      <c r="A36" s="292"/>
      <c r="B36" s="46" t="s">
        <v>42</v>
      </c>
      <c r="C36" s="173">
        <v>8724082.0099999998</v>
      </c>
      <c r="D36" s="166">
        <f>22.5+21</f>
        <v>43.5</v>
      </c>
      <c r="E36" s="223">
        <v>8615475.3699999992</v>
      </c>
      <c r="F36" s="224">
        <f t="shared" si="18"/>
        <v>47.158547561375023</v>
      </c>
      <c r="G36" s="80">
        <f t="shared" si="7"/>
        <v>90.65854756137503</v>
      </c>
      <c r="H36" s="162"/>
      <c r="I36" s="78"/>
      <c r="J36" s="180"/>
      <c r="K36" s="184"/>
      <c r="L36" s="223">
        <f t="shared" si="14"/>
        <v>8615475.3699999992</v>
      </c>
      <c r="M36" s="224">
        <f t="shared" si="19"/>
        <v>47.158547561375023</v>
      </c>
      <c r="N36" s="80">
        <f t="shared" si="9"/>
        <v>90.65854756137503</v>
      </c>
      <c r="O36" s="77"/>
      <c r="P36" s="78">
        <f t="shared" si="20"/>
        <v>0</v>
      </c>
      <c r="Q36" s="167"/>
    </row>
    <row r="37" spans="1:17" s="3" customFormat="1" ht="35.1" customHeight="1" thickBot="1" x14ac:dyDescent="0.2">
      <c r="A37" s="292"/>
      <c r="B37" s="46" t="s">
        <v>53</v>
      </c>
      <c r="C37" s="173">
        <v>8724082.0099999998</v>
      </c>
      <c r="D37" s="166">
        <f>22.5+21</f>
        <v>43.5</v>
      </c>
      <c r="E37" s="223">
        <v>8529887.1699999999</v>
      </c>
      <c r="F37" s="224">
        <f t="shared" si="18"/>
        <v>47.631732624664956</v>
      </c>
      <c r="G37" s="80">
        <f t="shared" si="7"/>
        <v>91.131732624664949</v>
      </c>
      <c r="H37" s="162"/>
      <c r="I37" s="78"/>
      <c r="J37" s="180"/>
      <c r="K37" s="71">
        <v>5.0000000000000001E-3</v>
      </c>
      <c r="L37" s="207">
        <f t="shared" si="14"/>
        <v>8487237.7341499999</v>
      </c>
      <c r="M37" s="208">
        <f t="shared" si="19"/>
        <v>47.631732624664956</v>
      </c>
      <c r="N37" s="70">
        <f t="shared" si="9"/>
        <v>91.131732624664949</v>
      </c>
      <c r="O37" s="51">
        <v>1</v>
      </c>
      <c r="P37" s="52">
        <f t="shared" si="20"/>
        <v>0.54560799213783528</v>
      </c>
      <c r="Q37" s="53">
        <f t="shared" si="10"/>
        <v>49.722201657385497</v>
      </c>
    </row>
    <row r="38" spans="1:17" s="3" customFormat="1" ht="35.1" customHeight="1" thickBot="1" x14ac:dyDescent="0.2">
      <c r="A38" s="293"/>
      <c r="B38" s="46" t="s">
        <v>54</v>
      </c>
      <c r="C38" s="173">
        <v>8724082.0099999998</v>
      </c>
      <c r="D38" s="168">
        <f>21+21</f>
        <v>42</v>
      </c>
      <c r="E38" s="209">
        <v>8317486.1399999997</v>
      </c>
      <c r="F38" s="210">
        <f t="shared" si="18"/>
        <v>48.848089213647917</v>
      </c>
      <c r="G38" s="104">
        <f t="shared" si="7"/>
        <v>90.84808921364791</v>
      </c>
      <c r="H38" s="169"/>
      <c r="I38" s="108"/>
      <c r="J38" s="181"/>
      <c r="K38" s="186"/>
      <c r="L38" s="209">
        <f t="shared" si="14"/>
        <v>8317486.1399999997</v>
      </c>
      <c r="M38" s="210">
        <f t="shared" si="19"/>
        <v>48.848089213647917</v>
      </c>
      <c r="N38" s="104">
        <f t="shared" si="9"/>
        <v>90.84808921364791</v>
      </c>
      <c r="O38" s="107"/>
      <c r="P38" s="108"/>
      <c r="Q38" s="170"/>
    </row>
    <row r="39" spans="1:17" s="3" customFormat="1" ht="35.1" customHeight="1" thickBot="1" x14ac:dyDescent="0.2">
      <c r="A39" s="18" t="s">
        <v>60</v>
      </c>
      <c r="B39" s="233" t="s">
        <v>44</v>
      </c>
      <c r="C39" s="173">
        <v>194490.2</v>
      </c>
      <c r="D39" s="155" t="s">
        <v>44</v>
      </c>
      <c r="E39" s="127">
        <v>194490.2</v>
      </c>
      <c r="F39" s="128" t="s">
        <v>62</v>
      </c>
      <c r="G39" s="128" t="s">
        <v>62</v>
      </c>
      <c r="H39" s="128" t="s">
        <v>62</v>
      </c>
      <c r="I39" s="128" t="s">
        <v>62</v>
      </c>
      <c r="J39" s="176" t="s">
        <v>62</v>
      </c>
      <c r="K39" s="174" t="s">
        <v>62</v>
      </c>
      <c r="L39" s="128" t="s">
        <v>62</v>
      </c>
      <c r="M39" s="128" t="s">
        <v>62</v>
      </c>
      <c r="N39" s="128" t="s">
        <v>62</v>
      </c>
      <c r="O39" s="128" t="s">
        <v>62</v>
      </c>
      <c r="P39" s="128" t="s">
        <v>62</v>
      </c>
      <c r="Q39" s="129" t="s">
        <v>62</v>
      </c>
    </row>
    <row r="40" spans="1:17" s="3" customFormat="1" ht="35.1" customHeight="1" thickBot="1" x14ac:dyDescent="0.2">
      <c r="A40" s="45" t="s">
        <v>59</v>
      </c>
      <c r="B40" s="270" t="s">
        <v>40</v>
      </c>
      <c r="C40" s="268">
        <v>181414.03</v>
      </c>
      <c r="D40" s="260">
        <f>23+21</f>
        <v>44</v>
      </c>
      <c r="E40" s="262">
        <v>134579.87</v>
      </c>
      <c r="F40" s="263">
        <f>$U$2*(MIN($E$40)/E40)</f>
        <v>55</v>
      </c>
      <c r="G40" s="264">
        <f t="shared" si="7"/>
        <v>99</v>
      </c>
      <c r="H40" s="265">
        <v>1</v>
      </c>
      <c r="I40" s="266">
        <f>+$C40/$C$47*H40</f>
        <v>1.1345714602461998E-2</v>
      </c>
      <c r="J40" s="267">
        <f>+G40*I40</f>
        <v>1.1232257456437378</v>
      </c>
      <c r="K40" s="195"/>
      <c r="L40" s="221">
        <f>+$E40*(1-K40)</f>
        <v>134579.87</v>
      </c>
      <c r="M40" s="222">
        <f>$U$2*(MIN($E$40)/E40)</f>
        <v>55</v>
      </c>
      <c r="N40" s="132">
        <f t="shared" si="9"/>
        <v>99</v>
      </c>
      <c r="O40" s="135">
        <v>1</v>
      </c>
      <c r="P40" s="136">
        <f>+$C40/$C$47*O40</f>
        <v>1.1345714602461998E-2</v>
      </c>
      <c r="Q40" s="194">
        <f t="shared" si="10"/>
        <v>1.1232257456437378</v>
      </c>
    </row>
    <row r="41" spans="1:17" s="3" customFormat="1" ht="35.1" customHeight="1" thickBot="1" x14ac:dyDescent="0.2">
      <c r="A41" s="294" t="s">
        <v>37</v>
      </c>
      <c r="B41" s="46" t="s">
        <v>46</v>
      </c>
      <c r="C41" s="173">
        <v>626433.36</v>
      </c>
      <c r="D41" s="163">
        <f>23+21</f>
        <v>44</v>
      </c>
      <c r="E41" s="205">
        <v>469888.16</v>
      </c>
      <c r="F41" s="206">
        <f>$U$2*(MIN($E$41:$E$43)/E41)</f>
        <v>54.140894505620238</v>
      </c>
      <c r="G41" s="96">
        <f t="shared" si="7"/>
        <v>98.140894505620238</v>
      </c>
      <c r="H41" s="164"/>
      <c r="I41" s="100">
        <f>+$C41/$C$47*H41</f>
        <v>0</v>
      </c>
      <c r="J41" s="179">
        <f t="shared" si="8"/>
        <v>0</v>
      </c>
      <c r="K41" s="187"/>
      <c r="L41" s="205">
        <f>+$E41*(1-K41)</f>
        <v>469888.16</v>
      </c>
      <c r="M41" s="206">
        <f>$U$2*(MIN($E$41:$E$43)/E41)</f>
        <v>54.140894505620238</v>
      </c>
      <c r="N41" s="96">
        <f>$D41+M41</f>
        <v>98.140894505620238</v>
      </c>
      <c r="O41" s="123"/>
      <c r="P41" s="100"/>
      <c r="Q41" s="165"/>
    </row>
    <row r="42" spans="1:17" s="3" customFormat="1" ht="35.1" customHeight="1" thickBot="1" x14ac:dyDescent="0.2">
      <c r="A42" s="292"/>
      <c r="B42" s="46" t="s">
        <v>55</v>
      </c>
      <c r="C42" s="173">
        <v>626433.36</v>
      </c>
      <c r="D42" s="166">
        <f>18+21</f>
        <v>39</v>
      </c>
      <c r="E42" s="223">
        <v>623670.59</v>
      </c>
      <c r="F42" s="224">
        <f>$U$2*(MIN($E$41:$E$43)/E42)</f>
        <v>40.791029283583825</v>
      </c>
      <c r="G42" s="80">
        <f t="shared" si="7"/>
        <v>79.791029283583825</v>
      </c>
      <c r="H42" s="162"/>
      <c r="I42" s="78"/>
      <c r="J42" s="180"/>
      <c r="K42" s="188"/>
      <c r="L42" s="223">
        <f t="shared" ref="L42:L45" si="21">+$E42*(1-K42)</f>
        <v>623670.59</v>
      </c>
      <c r="M42" s="224">
        <f>$U$2*(MIN($E$41:$E$43)/E42)</f>
        <v>40.791029283583825</v>
      </c>
      <c r="N42" s="80">
        <f t="shared" ref="N42:N43" si="22">$D42+M42</f>
        <v>79.791029283583825</v>
      </c>
      <c r="O42" s="77"/>
      <c r="P42" s="78"/>
      <c r="Q42" s="167"/>
    </row>
    <row r="43" spans="1:17" s="3" customFormat="1" ht="35.1" customHeight="1" thickBot="1" x14ac:dyDescent="0.2">
      <c r="A43" s="292"/>
      <c r="B43" s="271" t="s">
        <v>42</v>
      </c>
      <c r="C43" s="236">
        <v>626433.36</v>
      </c>
      <c r="D43" s="272">
        <f>23+21</f>
        <v>44</v>
      </c>
      <c r="E43" s="273">
        <v>462548.46</v>
      </c>
      <c r="F43" s="274">
        <f>$U$2*(MIN($E$41:$E$43)/E43)</f>
        <v>55</v>
      </c>
      <c r="G43" s="275">
        <f t="shared" si="7"/>
        <v>99</v>
      </c>
      <c r="H43" s="276">
        <v>1</v>
      </c>
      <c r="I43" s="277">
        <f>+$C43/$C$47*H43</f>
        <v>3.9177422606296405E-2</v>
      </c>
      <c r="J43" s="278">
        <f>+G43*I43</f>
        <v>3.878564838023344</v>
      </c>
      <c r="K43" s="197"/>
      <c r="L43" s="225">
        <f t="shared" si="21"/>
        <v>462548.46</v>
      </c>
      <c r="M43" s="226">
        <f>$U$2*(MIN($E$41:$E$43)/E43)</f>
        <v>55</v>
      </c>
      <c r="N43" s="227">
        <f t="shared" si="22"/>
        <v>99</v>
      </c>
      <c r="O43" s="141">
        <v>1</v>
      </c>
      <c r="P43" s="86">
        <f t="shared" ref="P43" si="23">+$C43/$C$47*O43</f>
        <v>3.9177422606296405E-2</v>
      </c>
      <c r="Q43" s="198">
        <f t="shared" si="10"/>
        <v>3.878564838023344</v>
      </c>
    </row>
    <row r="44" spans="1:17" s="3" customFormat="1" ht="35.1" customHeight="1" x14ac:dyDescent="0.15">
      <c r="A44" s="306" t="s">
        <v>38</v>
      </c>
      <c r="B44" s="252" t="s">
        <v>46</v>
      </c>
      <c r="C44" s="279">
        <v>396204.76</v>
      </c>
      <c r="D44" s="256">
        <f>23+21</f>
        <v>44</v>
      </c>
      <c r="E44" s="254">
        <v>372183.76</v>
      </c>
      <c r="F44" s="255">
        <f>$U$2*(MIN($E$44:$E$46)/E44)</f>
        <v>55</v>
      </c>
      <c r="G44" s="256">
        <f t="shared" si="7"/>
        <v>99</v>
      </c>
      <c r="H44" s="257">
        <v>1</v>
      </c>
      <c r="I44" s="258">
        <f>+$C44/$C$47*H44</f>
        <v>2.4778822955958544E-2</v>
      </c>
      <c r="J44" s="259">
        <f>+G44*I44</f>
        <v>2.4531034726398957</v>
      </c>
      <c r="K44" s="187"/>
      <c r="L44" s="205">
        <f t="shared" si="21"/>
        <v>372183.76</v>
      </c>
      <c r="M44" s="206">
        <f>$U$2*(MIN($E$44:$E$46)/E44)</f>
        <v>55</v>
      </c>
      <c r="N44" s="96">
        <f t="shared" si="9"/>
        <v>99</v>
      </c>
      <c r="O44" s="123"/>
      <c r="P44" s="100"/>
      <c r="Q44" s="165"/>
    </row>
    <row r="45" spans="1:17" s="3" customFormat="1" ht="35.1" customHeight="1" x14ac:dyDescent="0.15">
      <c r="A45" s="306"/>
      <c r="B45" s="37" t="s">
        <v>42</v>
      </c>
      <c r="C45" s="231">
        <v>396204.76</v>
      </c>
      <c r="D45" s="80">
        <f>23+21</f>
        <v>44</v>
      </c>
      <c r="E45" s="223">
        <v>395794.5</v>
      </c>
      <c r="F45" s="224">
        <f>$U$2*(MIN($E$44:$E$46)/E45)</f>
        <v>51.719027929897969</v>
      </c>
      <c r="G45" s="80">
        <f t="shared" si="7"/>
        <v>95.719027929897976</v>
      </c>
      <c r="H45" s="162"/>
      <c r="I45" s="78"/>
      <c r="J45" s="180"/>
      <c r="K45" s="188"/>
      <c r="L45" s="223">
        <f t="shared" si="21"/>
        <v>395794.5</v>
      </c>
      <c r="M45" s="224">
        <f t="shared" ref="M45:M46" si="24">$U$2*(MIN($E$44:$E$46)/E45)</f>
        <v>51.719027929897969</v>
      </c>
      <c r="N45" s="80">
        <f t="shared" si="9"/>
        <v>95.719027929897976</v>
      </c>
      <c r="O45" s="77"/>
      <c r="P45" s="78">
        <f t="shared" ref="P45:P46" si="25">+$C45/$C$47*O45</f>
        <v>0</v>
      </c>
      <c r="Q45" s="167">
        <f t="shared" si="10"/>
        <v>0</v>
      </c>
    </row>
    <row r="46" spans="1:17" s="3" customFormat="1" ht="35.1" customHeight="1" thickBot="1" x14ac:dyDescent="0.2">
      <c r="A46" s="306"/>
      <c r="B46" s="196" t="s">
        <v>49</v>
      </c>
      <c r="C46" s="232">
        <v>396204.76</v>
      </c>
      <c r="D46" s="104">
        <f>23+21</f>
        <v>44</v>
      </c>
      <c r="E46" s="209">
        <v>395784.12</v>
      </c>
      <c r="F46" s="210">
        <f>$U$2*(MIN($E$44:$E$46)/E46)</f>
        <v>51.720384334773215</v>
      </c>
      <c r="G46" s="104">
        <f t="shared" si="7"/>
        <v>95.720384334773215</v>
      </c>
      <c r="H46" s="169"/>
      <c r="I46" s="108"/>
      <c r="J46" s="181"/>
      <c r="K46" s="67">
        <v>5.0000000000000001E-3</v>
      </c>
      <c r="L46" s="203">
        <f>+$E46*(1-K46)</f>
        <v>393805.19939999998</v>
      </c>
      <c r="M46" s="204">
        <f t="shared" si="24"/>
        <v>51.720384334773215</v>
      </c>
      <c r="N46" s="118">
        <f t="shared" si="9"/>
        <v>95.720384334773215</v>
      </c>
      <c r="O46" s="120">
        <v>1</v>
      </c>
      <c r="P46" s="65">
        <f t="shared" si="25"/>
        <v>2.4778822955958544E-2</v>
      </c>
      <c r="Q46" s="66">
        <f t="shared" si="10"/>
        <v>2.3718384567076529</v>
      </c>
    </row>
    <row r="47" spans="1:17" ht="42.75" customHeight="1" thickBot="1" x14ac:dyDescent="0.25">
      <c r="B47" s="60" t="s">
        <v>13</v>
      </c>
      <c r="C47" s="61">
        <f>C9+C10+C12+C15+C18+C19+C21+C22+C25+C28+C29+C31+C33+C39+C40+C41+C44</f>
        <v>15989652.159999996</v>
      </c>
      <c r="I47" s="32" t="s">
        <v>14</v>
      </c>
      <c r="J47" s="199">
        <f>SUM(J9:J46)</f>
        <v>90.236486065623097</v>
      </c>
      <c r="P47" s="32" t="s">
        <v>14</v>
      </c>
      <c r="Q47" s="33">
        <f>SUM(Q9:Q44)</f>
        <v>81.613782027618385</v>
      </c>
    </row>
    <row r="50" spans="1:7" ht="14.25" x14ac:dyDescent="0.2">
      <c r="A50" s="1" t="s">
        <v>2</v>
      </c>
    </row>
    <row r="51" spans="1:7" ht="14.25" x14ac:dyDescent="0.2">
      <c r="A51" s="1" t="s">
        <v>61</v>
      </c>
    </row>
    <row r="53" spans="1:7" ht="56.25" customHeight="1" x14ac:dyDescent="0.2">
      <c r="A53" s="299"/>
      <c r="B53" s="299"/>
      <c r="C53" s="299"/>
      <c r="D53" s="299"/>
      <c r="E53" s="299"/>
      <c r="F53" s="299"/>
      <c r="G53" s="299"/>
    </row>
  </sheetData>
  <mergeCells count="13">
    <mergeCell ref="A53:G53"/>
    <mergeCell ref="E7:J7"/>
    <mergeCell ref="K7:Q7"/>
    <mergeCell ref="A3:Q3"/>
    <mergeCell ref="A4:Q4"/>
    <mergeCell ref="A5:Q5"/>
    <mergeCell ref="A16:A17"/>
    <mergeCell ref="A23:A24"/>
    <mergeCell ref="A29:A30"/>
    <mergeCell ref="A31:A32"/>
    <mergeCell ref="A33:A38"/>
    <mergeCell ref="A41:A43"/>
    <mergeCell ref="A44:A46"/>
  </mergeCells>
  <printOptions horizontalCentered="1"/>
  <pageMargins left="0" right="0" top="0.35433070866141736" bottom="0.35433070866141736" header="0.31496062992125984" footer="0.31496062992125984"/>
  <pageSetup paperSize="9" scale="3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ALTERNATIVA ADJUDICADA</vt:lpstr>
      <vt:lpstr>valoración</vt:lpstr>
      <vt:lpstr>'ALTERNATIVA ADJUDICADA'!Área_de_impresión</vt:lpstr>
      <vt:lpstr>valoración!Área_de_impresión</vt:lpstr>
    </vt:vector>
  </TitlesOfParts>
  <Company>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antonio_casanova</dc:creator>
  <cp:lastModifiedBy>JUAN PEDRO TORIBIO GOMEZ</cp:lastModifiedBy>
  <cp:lastPrinted>2023-10-16T11:07:54Z</cp:lastPrinted>
  <dcterms:created xsi:type="dcterms:W3CDTF">2007-03-30T09:59:06Z</dcterms:created>
  <dcterms:modified xsi:type="dcterms:W3CDTF">2023-10-27T11:06:42Z</dcterms:modified>
</cp:coreProperties>
</file>