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NO COMITÉ\3.- INFORME TÉCNICO\S-06814-2023 - Merchandising para cursos formación\INFORMES\"/>
    </mc:Choice>
  </mc:AlternateContent>
  <xr:revisionPtr revIDLastSave="0" documentId="13_ncr:1_{42BAEB9E-584E-4AC2-935B-6DAF8F550DB5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ADJUDICADA'!$A$1:$K$21</definedName>
    <definedName name="_xlnm.Print_Area" localSheetId="1">valoración!$A$2:$Q$21</definedName>
  </definedNames>
  <calcPr calcId="191029"/>
</workbook>
</file>

<file path=xl/calcChain.xml><?xml version="1.0" encoding="utf-8"?>
<calcChain xmlns="http://schemas.openxmlformats.org/spreadsheetml/2006/main">
  <c r="J16" i="6" l="1"/>
  <c r="K15" i="6"/>
  <c r="J13" i="6"/>
  <c r="J11" i="6"/>
  <c r="J10" i="6"/>
  <c r="K10" i="6" l="1"/>
  <c r="J15" i="6"/>
  <c r="K14" i="6"/>
  <c r="K16" i="6"/>
  <c r="K9" i="6"/>
  <c r="K12" i="6"/>
  <c r="A4" i="6" l="1"/>
  <c r="A3" i="6"/>
  <c r="A2" i="6"/>
  <c r="C17" i="6" l="1"/>
  <c r="C17" i="5"/>
  <c r="L16" i="5"/>
  <c r="F16" i="5"/>
  <c r="G16" i="5" s="1"/>
  <c r="L15" i="5"/>
  <c r="F15" i="5"/>
  <c r="G15" i="5" s="1"/>
  <c r="L14" i="5"/>
  <c r="F14" i="5"/>
  <c r="G14" i="5" s="1"/>
  <c r="L12" i="5"/>
  <c r="F12" i="5"/>
  <c r="G12" i="5" s="1"/>
  <c r="L10" i="5"/>
  <c r="F10" i="5"/>
  <c r="G10" i="5" s="1"/>
  <c r="L9" i="5"/>
  <c r="F9" i="5"/>
  <c r="G9" i="5" s="1"/>
  <c r="I12" i="6" l="1"/>
  <c r="J12" i="6" s="1"/>
  <c r="I14" i="6"/>
  <c r="J14" i="6" s="1"/>
  <c r="I9" i="6"/>
  <c r="J9" i="6" s="1"/>
  <c r="M16" i="5"/>
  <c r="N16" i="5" s="1"/>
  <c r="M14" i="5"/>
  <c r="N14" i="5" s="1"/>
  <c r="I16" i="5"/>
  <c r="J16" i="5" s="1"/>
  <c r="P13" i="5"/>
  <c r="Q13" i="5" s="1"/>
  <c r="I13" i="5"/>
  <c r="J13" i="5" s="1"/>
  <c r="M10" i="5"/>
  <c r="N10" i="5" s="1"/>
  <c r="M9" i="5"/>
  <c r="N9" i="5" s="1"/>
  <c r="P9" i="5"/>
  <c r="I11" i="5"/>
  <c r="J11" i="5" s="1"/>
  <c r="I15" i="5"/>
  <c r="J15" i="5" s="1"/>
  <c r="M15" i="5"/>
  <c r="N15" i="5" s="1"/>
  <c r="M12" i="5"/>
  <c r="N12" i="5" s="1"/>
  <c r="I9" i="5"/>
  <c r="J9" i="5" s="1"/>
  <c r="I10" i="5"/>
  <c r="J10" i="5" s="1"/>
  <c r="P14" i="5"/>
  <c r="P10" i="5"/>
  <c r="I12" i="5"/>
  <c r="J12" i="5" s="1"/>
  <c r="P11" i="5"/>
  <c r="Q11" i="5" s="1"/>
  <c r="I14" i="5"/>
  <c r="J14" i="5" s="1"/>
  <c r="P16" i="5"/>
  <c r="P12" i="5"/>
  <c r="P15" i="5"/>
  <c r="J17" i="6" l="1"/>
  <c r="Q16" i="5"/>
  <c r="Q14" i="5"/>
  <c r="Q10" i="5"/>
  <c r="Q9" i="5"/>
  <c r="Q15" i="5"/>
  <c r="Q12" i="5"/>
  <c r="J17" i="5"/>
  <c r="Q17" i="5" l="1"/>
</calcChain>
</file>

<file path=xl/sharedStrings.xml><?xml version="1.0" encoding="utf-8"?>
<sst xmlns="http://schemas.openxmlformats.org/spreadsheetml/2006/main" count="76" uniqueCount="41">
  <si>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</si>
  <si>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</si>
  <si>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</si>
  <si>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</si>
  <si>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</si>
  <si>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</si>
  <si>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</si>
  <si>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</si>
  <si>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</si>
  <si>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</si>
  <si>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</si>
  <si>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</si>
  <si>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</si>
  <si>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</si>
  <si>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</si>
  <si>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</si>
  <si>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</si>
  <si>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</si>
  <si>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</si>
  <si>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</si>
  <si>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</si>
  <si>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</si>
  <si>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Madrid, a 3 de enero  de 2024</t>
  </si>
  <si>
    <t>PROPUESTA DE ADJUDICACIÓN DEL EXPEDIENTE S-06814-2023</t>
  </si>
  <si>
    <t>"Merchandising para cursos formación RTVE Instituto"</t>
  </si>
  <si>
    <t>LOTE 1: Cuadernos espiral</t>
  </si>
  <si>
    <t>LOTE 2: Bolígrafos clip</t>
  </si>
  <si>
    <t>LOTE 3: USB espectra 16 GB</t>
  </si>
  <si>
    <t>LOTE 2:
Bolígrafos clip</t>
  </si>
  <si>
    <t>LOTE 3: 
USB espectra 16 GB</t>
  </si>
  <si>
    <t>ADVANTIA, S.A.</t>
  </si>
  <si>
    <t>SANLUC REGALOS PUBLICITARIOS SL</t>
  </si>
  <si>
    <t>PROMOCIONES PUBLICITARIAS
PUBLIVIÑA, S.L.</t>
  </si>
  <si>
    <t>EXCLUIDA / INADMITIDA: Oferta económica superior al Presupuesto base de licitación</t>
  </si>
  <si>
    <t>-</t>
  </si>
  <si>
    <t>Alternativa 2: oferta conjunta por los tres lotes (10,66% de descuento)</t>
  </si>
  <si>
    <r>
      <t>Importe Oferta</t>
    </r>
    <r>
      <rPr>
        <b/>
        <i/>
        <sz val="12"/>
        <rFont val="Tahoma"/>
        <family val="2"/>
      </rPr>
      <t xml:space="preserve"> </t>
    </r>
  </si>
  <si>
    <t>Importe Oferta</t>
  </si>
  <si>
    <t xml:space="preserve">Importe Oferta </t>
  </si>
  <si>
    <t>Madrid, a 3 de enero de 2024</t>
  </si>
  <si>
    <t>LOTE 1:
 Cuadernos espiral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</si>
</sst>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  <font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03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right" vertical="center" wrapText="1"/>
    </xf>
    <xf numFmtId="166" fontId="17" fillId="0" borderId="20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166" fontId="6" fillId="5" borderId="19" xfId="0" applyNumberFormat="1" applyFont="1" applyFill="1" applyBorder="1" applyAlignment="1">
      <alignment vertical="center"/>
    </xf>
    <xf numFmtId="166" fontId="6" fillId="5" borderId="18" xfId="0" applyNumberFormat="1" applyFont="1" applyFill="1" applyBorder="1" applyAlignment="1">
      <alignment vertical="center"/>
    </xf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3" xfId="0" applyNumberFormat="1" applyFont="1" applyFill="1" applyBorder="1" applyAlignment="1">
      <alignment horizontal="left" vertical="top" wrapText="1"/>
    </xf>
    <xf numFmtId="164" fontId="5" fillId="0" borderId="24" xfId="2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4" fontId="9" fillId="4" borderId="12" xfId="0" applyNumberFormat="1" applyFont="1" applyFill="1" applyBorder="1" applyAlignment="1">
      <alignment horizontal="right" vertical="center" indent="1"/>
    </xf>
    <xf numFmtId="0" fontId="0" fillId="6" borderId="0" xfId="0" applyFill="1"/>
    <xf numFmtId="166" fontId="6" fillId="6" borderId="2" xfId="0" applyNumberFormat="1" applyFont="1" applyFill="1" applyBorder="1" applyAlignment="1">
      <alignment horizontal="right" vertical="center" indent="1"/>
    </xf>
    <xf numFmtId="4" fontId="6" fillId="6" borderId="2" xfId="0" applyNumberFormat="1" applyFont="1" applyFill="1" applyBorder="1" applyAlignment="1">
      <alignment horizontal="right" vertical="center" indent="1"/>
    </xf>
    <xf numFmtId="4" fontId="6" fillId="6" borderId="26" xfId="0" applyNumberFormat="1" applyFont="1" applyFill="1" applyBorder="1" applyAlignment="1">
      <alignment horizontal="center" vertical="center"/>
    </xf>
    <xf numFmtId="4" fontId="6" fillId="6" borderId="16" xfId="0" applyNumberFormat="1" applyFont="1" applyFill="1" applyBorder="1" applyAlignment="1">
      <alignment horizontal="right" vertical="center" indent="1"/>
    </xf>
    <xf numFmtId="4" fontId="6" fillId="6" borderId="27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 wrapText="1"/>
    </xf>
    <xf numFmtId="0" fontId="9" fillId="6" borderId="20" xfId="0" applyNumberFormat="1" applyFont="1" applyFill="1" applyBorder="1" applyAlignment="1">
      <alignment horizontal="right" vertical="center" wrapText="1"/>
    </xf>
    <xf numFmtId="166" fontId="17" fillId="6" borderId="20" xfId="0" applyNumberFormat="1" applyFont="1" applyFill="1" applyBorder="1" applyAlignment="1">
      <alignment horizontal="center" vertical="center"/>
    </xf>
    <xf numFmtId="0" fontId="3" fillId="6" borderId="0" xfId="0" applyFont="1" applyFill="1" applyBorder="1"/>
    <xf numFmtId="0" fontId="16" fillId="6" borderId="23" xfId="0" applyNumberFormat="1" applyFont="1" applyFill="1" applyBorder="1" applyAlignment="1">
      <alignment horizontal="right" vertical="top" wrapText="1"/>
    </xf>
    <xf numFmtId="164" fontId="5" fillId="6" borderId="24" xfId="2" applyFont="1" applyFill="1" applyBorder="1" applyAlignment="1">
      <alignment horizontal="center" vertical="center"/>
    </xf>
    <xf numFmtId="0" fontId="5" fillId="6" borderId="6" xfId="0" applyFont="1" applyFill="1" applyBorder="1"/>
    <xf numFmtId="9" fontId="18" fillId="6" borderId="4" xfId="3" applyFont="1" applyFill="1" applyBorder="1" applyAlignment="1">
      <alignment horizontal="left" vertical="center"/>
    </xf>
    <xf numFmtId="9" fontId="18" fillId="6" borderId="21" xfId="3" applyFont="1" applyFill="1" applyBorder="1" applyAlignment="1">
      <alignment horizontal="left" vertical="center"/>
    </xf>
    <xf numFmtId="9" fontId="18" fillId="6" borderId="22" xfId="3" applyFont="1" applyFill="1" applyBorder="1" applyAlignment="1">
      <alignment horizontal="left" vertical="center"/>
    </xf>
    <xf numFmtId="0" fontId="19" fillId="6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1" xfId="2" applyNumberFormat="1" applyFont="1" applyFill="1" applyBorder="1" applyAlignment="1">
      <alignment horizontal="left" vertical="center"/>
    </xf>
    <xf numFmtId="165" fontId="18" fillId="0" borderId="22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1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20" fillId="0" borderId="15" xfId="0" applyNumberFormat="1" applyFont="1" applyFill="1" applyBorder="1" applyAlignment="1">
      <alignment horizontal="center" vertical="center" wrapText="1"/>
    </xf>
    <xf numFmtId="166" fontId="6" fillId="6" borderId="7" xfId="0" applyNumberFormat="1" applyFont="1" applyFill="1" applyBorder="1" applyAlignment="1">
      <alignment horizontal="right" vertical="center" indent="1"/>
    </xf>
    <xf numFmtId="4" fontId="6" fillId="6" borderId="14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>
      <alignment horizontal="right" vertical="center" indent="1"/>
    </xf>
    <xf numFmtId="4" fontId="9" fillId="0" borderId="13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166" fontId="9" fillId="4" borderId="12" xfId="0" applyNumberFormat="1" applyFont="1" applyFill="1" applyBorder="1" applyAlignment="1">
      <alignment horizontal="right" vertical="center" indent="1"/>
    </xf>
    <xf numFmtId="0" fontId="21" fillId="0" borderId="15" xfId="0" applyNumberFormat="1" applyFont="1" applyFill="1" applyBorder="1" applyAlignment="1">
      <alignment horizontal="center" vertical="center" wrapText="1"/>
    </xf>
    <xf numFmtId="166" fontId="9" fillId="4" borderId="11" xfId="0" applyNumberFormat="1" applyFont="1" applyFill="1" applyBorder="1" applyAlignment="1">
      <alignment horizontal="right" vertical="center" indent="1"/>
    </xf>
    <xf numFmtId="4" fontId="6" fillId="6" borderId="25" xfId="0" applyNumberFormat="1" applyFont="1" applyFill="1" applyBorder="1" applyAlignment="1">
      <alignment horizontal="center" vertical="center"/>
    </xf>
    <xf numFmtId="166" fontId="5" fillId="5" borderId="19" xfId="0" applyNumberFormat="1" applyFont="1" applyFill="1" applyBorder="1" applyAlignment="1">
      <alignment vertical="center"/>
    </xf>
    <xf numFmtId="0" fontId="3" fillId="6" borderId="0" xfId="0" applyFont="1" applyFill="1" applyAlignment="1">
      <alignment horizontal="left" wrapText="1"/>
    </xf>
    <xf numFmtId="0" fontId="0" fillId="6" borderId="0" xfId="0" applyFill="1" applyAlignment="1">
      <alignment horizontal="left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topLeftCell="A7" workbookViewId="0">
      <selection activeCell="E14" sqref="E14:J16"/>
    </sheetView>
  </sheetViews>
  <sheetFormatPr baseColWidth="10" defaultRowHeight="12.75" x14ac:dyDescent="0.2"/>
  <cols>
    <col min="1" max="1" width="24.5703125" customWidth="1"/>
    <col min="2" max="2" width="25.7109375" customWidth="1"/>
    <col min="3" max="3" width="23.7109375" customWidth="1"/>
    <col min="4" max="4" width="18.7109375" customWidth="1"/>
    <col min="5" max="10" width="16.7109375" customWidth="1"/>
    <col min="11" max="11" width="16.140625" customWidth="1"/>
  </cols>
  <sheetData>
    <row r="1" spans="1:11" ht="48" customHeight="1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18" x14ac:dyDescent="0.25">
      <c r="A2" s="76" t="str">
        <f>valoración!A3</f>
        <v>PROPUESTA DE ADJUDICACIÓN DEL EXPEDIENTE S-06814-2023</v>
      </c>
      <c r="B2" s="76"/>
      <c r="C2" s="76"/>
      <c r="D2" s="76"/>
      <c r="E2" s="76"/>
      <c r="F2" s="76"/>
      <c r="G2" s="76"/>
      <c r="H2" s="76"/>
      <c r="I2" s="76"/>
      <c r="J2" s="76"/>
      <c r="K2" s="60"/>
    </row>
    <row r="3" spans="1:11" ht="18" x14ac:dyDescent="0.25">
      <c r="A3" s="76" t="str">
        <f>valoración!A4</f>
        <v>"Merchandising para cursos formación RTVE Instituto"</v>
      </c>
      <c r="B3" s="76"/>
      <c r="C3" s="76"/>
      <c r="D3" s="76"/>
      <c r="E3" s="76"/>
      <c r="F3" s="76"/>
      <c r="G3" s="76"/>
      <c r="H3" s="76"/>
      <c r="I3" s="76"/>
      <c r="J3" s="76"/>
      <c r="K3" s="60"/>
    </row>
    <row r="4" spans="1:11" ht="18" x14ac:dyDescent="0.25">
      <c r="A4" s="76" t="str">
        <f>valoración!A5</f>
        <v>RESUMEN PUNTUACIÓN TÉCNICA Y ECONÓMICA</v>
      </c>
      <c r="B4" s="76"/>
      <c r="C4" s="76"/>
      <c r="D4" s="76"/>
      <c r="E4" s="76"/>
      <c r="F4" s="76"/>
      <c r="G4" s="76"/>
      <c r="H4" s="76"/>
      <c r="I4" s="76"/>
      <c r="J4" s="76"/>
      <c r="K4" s="60"/>
    </row>
    <row r="5" spans="1:11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ht="13.5" thickBot="1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</row>
    <row r="7" spans="1:11" ht="30.75" customHeight="1" thickBot="1" x14ac:dyDescent="0.25">
      <c r="A7" s="60"/>
      <c r="B7" s="60"/>
      <c r="C7" s="60"/>
      <c r="D7" s="60"/>
      <c r="E7" s="73" t="s">
        <v>15</v>
      </c>
      <c r="F7" s="74"/>
      <c r="G7" s="74"/>
      <c r="H7" s="74"/>
      <c r="I7" s="74"/>
      <c r="J7" s="75"/>
      <c r="K7" s="60"/>
    </row>
    <row r="8" spans="1:1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38</v>
      </c>
      <c r="F8" s="17" t="s">
        <v>1</v>
      </c>
      <c r="G8" s="17" t="s">
        <v>17</v>
      </c>
      <c r="H8" s="17" t="s">
        <v>10</v>
      </c>
      <c r="I8" s="17" t="s">
        <v>11</v>
      </c>
      <c r="J8" s="18" t="s">
        <v>12</v>
      </c>
      <c r="K8" s="17" t="s">
        <v>20</v>
      </c>
    </row>
    <row r="9" spans="1:11" ht="35.1" customHeight="1" thickBot="1" x14ac:dyDescent="0.25">
      <c r="A9" s="100" t="s">
        <v>40</v>
      </c>
      <c r="B9" s="87" t="s">
        <v>30</v>
      </c>
      <c r="C9" s="22">
        <v>1200</v>
      </c>
      <c r="D9" s="23">
        <v>25</v>
      </c>
      <c r="E9" s="95">
        <v>1010</v>
      </c>
      <c r="F9" s="57">
        <v>75</v>
      </c>
      <c r="G9" s="59">
        <v>100</v>
      </c>
      <c r="H9" s="34">
        <v>1</v>
      </c>
      <c r="I9" s="35">
        <f>+$C9/$C$17*H9</f>
        <v>0.31578947368421051</v>
      </c>
      <c r="J9" s="36">
        <f>+G9*I9</f>
        <v>31.578947368421051</v>
      </c>
      <c r="K9" s="96">
        <f>100-($E9*100/$C9)</f>
        <v>15.833333333333329</v>
      </c>
    </row>
    <row r="10" spans="1:11" ht="35.1" customHeight="1" thickBot="1" x14ac:dyDescent="0.25">
      <c r="A10" s="101"/>
      <c r="B10" s="87" t="s">
        <v>31</v>
      </c>
      <c r="C10" s="29">
        <v>1200</v>
      </c>
      <c r="D10" s="30">
        <v>0</v>
      </c>
      <c r="E10" s="88">
        <v>1160</v>
      </c>
      <c r="F10" s="62">
        <v>63.861386138613867</v>
      </c>
      <c r="G10" s="62">
        <v>73.043762376237623</v>
      </c>
      <c r="H10" s="45"/>
      <c r="I10" s="37"/>
      <c r="J10" s="38">
        <f t="shared" ref="J10:J16" si="0">+G10*I10</f>
        <v>0</v>
      </c>
      <c r="K10" s="63">
        <f>100-($E10*100/$C10)</f>
        <v>3.3333333333333286</v>
      </c>
    </row>
    <row r="11" spans="1:11" ht="35.1" customHeight="1" thickBot="1" x14ac:dyDescent="0.25">
      <c r="A11" s="102"/>
      <c r="B11" s="94" t="s">
        <v>32</v>
      </c>
      <c r="C11" s="29">
        <v>1200</v>
      </c>
      <c r="D11" s="26">
        <v>0</v>
      </c>
      <c r="E11" s="97" t="s">
        <v>33</v>
      </c>
      <c r="F11" s="62"/>
      <c r="G11" s="62"/>
      <c r="H11" s="46"/>
      <c r="I11" s="39"/>
      <c r="J11" s="40">
        <f t="shared" si="0"/>
        <v>0</v>
      </c>
      <c r="K11" s="63"/>
    </row>
    <row r="12" spans="1:11" ht="35.1" customHeight="1" thickBot="1" x14ac:dyDescent="0.25">
      <c r="A12" s="100" t="s">
        <v>28</v>
      </c>
      <c r="B12" s="87" t="s">
        <v>31</v>
      </c>
      <c r="C12" s="22">
        <v>600</v>
      </c>
      <c r="D12" s="23">
        <v>0</v>
      </c>
      <c r="E12" s="95">
        <v>535</v>
      </c>
      <c r="F12" s="57">
        <v>75</v>
      </c>
      <c r="G12" s="59">
        <v>75</v>
      </c>
      <c r="H12" s="34">
        <v>1</v>
      </c>
      <c r="I12" s="35">
        <f>+$C12/$C$17*H12</f>
        <v>0.15789473684210525</v>
      </c>
      <c r="J12" s="36">
        <f t="shared" si="0"/>
        <v>11.842105263157894</v>
      </c>
      <c r="K12" s="63">
        <f>100-($E12*100/$C12)</f>
        <v>10.833333333333329</v>
      </c>
    </row>
    <row r="13" spans="1:11" ht="35.1" customHeight="1" thickBot="1" x14ac:dyDescent="0.25">
      <c r="A13" s="102"/>
      <c r="B13" s="94" t="s">
        <v>32</v>
      </c>
      <c r="C13" s="29">
        <v>600</v>
      </c>
      <c r="D13" s="26">
        <v>0</v>
      </c>
      <c r="E13" s="97" t="s">
        <v>33</v>
      </c>
      <c r="F13" s="62"/>
      <c r="G13" s="62"/>
      <c r="H13" s="46"/>
      <c r="I13" s="39"/>
      <c r="J13" s="40">
        <f t="shared" si="0"/>
        <v>0</v>
      </c>
      <c r="K13" s="63"/>
    </row>
    <row r="14" spans="1:11" ht="35.1" customHeight="1" thickBot="1" x14ac:dyDescent="0.25">
      <c r="A14" s="100" t="s">
        <v>29</v>
      </c>
      <c r="B14" s="87" t="s">
        <v>30</v>
      </c>
      <c r="C14" s="22">
        <v>2000</v>
      </c>
      <c r="D14" s="23">
        <v>25</v>
      </c>
      <c r="E14" s="95">
        <v>1960</v>
      </c>
      <c r="F14" s="57">
        <v>63.529411764705891</v>
      </c>
      <c r="G14" s="59">
        <v>78.211788409117844</v>
      </c>
      <c r="H14" s="34">
        <v>1</v>
      </c>
      <c r="I14" s="35">
        <f>+$C14/$C$17*H14</f>
        <v>0.52631578947368418</v>
      </c>
      <c r="J14" s="36">
        <f t="shared" si="0"/>
        <v>41.164099162693603</v>
      </c>
      <c r="K14" s="63">
        <f>100-($E14*100/$C14)</f>
        <v>2</v>
      </c>
    </row>
    <row r="15" spans="1:11" ht="35.1" customHeight="1" thickBot="1" x14ac:dyDescent="0.25">
      <c r="A15" s="101"/>
      <c r="B15" s="94" t="s">
        <v>32</v>
      </c>
      <c r="C15" s="29">
        <v>2000</v>
      </c>
      <c r="D15" s="30">
        <v>0</v>
      </c>
      <c r="E15" s="88">
        <v>1885</v>
      </c>
      <c r="F15" s="62">
        <v>66.838235294117638</v>
      </c>
      <c r="G15" s="62">
        <v>56.915418954687318</v>
      </c>
      <c r="H15" s="37"/>
      <c r="I15" s="37"/>
      <c r="J15" s="38">
        <f t="shared" si="0"/>
        <v>0</v>
      </c>
      <c r="K15" s="63">
        <f>100-($E15*100/$C15)</f>
        <v>5.75</v>
      </c>
    </row>
    <row r="16" spans="1:11" ht="35.1" customHeight="1" thickBot="1" x14ac:dyDescent="0.25">
      <c r="A16" s="102"/>
      <c r="B16" s="87" t="s">
        <v>31</v>
      </c>
      <c r="C16" s="29">
        <v>2000</v>
      </c>
      <c r="D16" s="26">
        <v>0</v>
      </c>
      <c r="E16" s="27">
        <v>1700</v>
      </c>
      <c r="F16" s="64">
        <v>75</v>
      </c>
      <c r="G16" s="64">
        <v>75</v>
      </c>
      <c r="H16" s="64"/>
      <c r="I16" s="39"/>
      <c r="J16" s="40">
        <f t="shared" si="0"/>
        <v>0</v>
      </c>
      <c r="K16" s="65">
        <f>100-($E16*100/$C16)</f>
        <v>15</v>
      </c>
    </row>
    <row r="17" spans="1:11" ht="41.25" thickBot="1" x14ac:dyDescent="0.25">
      <c r="A17" s="66"/>
      <c r="B17" s="67" t="s">
        <v>13</v>
      </c>
      <c r="C17" s="68">
        <f>C9+C12+C14</f>
        <v>3800</v>
      </c>
      <c r="D17" s="69"/>
      <c r="E17" s="69"/>
      <c r="F17" s="69"/>
      <c r="G17" s="69"/>
      <c r="H17" s="69"/>
      <c r="I17" s="70" t="s">
        <v>19</v>
      </c>
      <c r="J17" s="71">
        <f>SUM(J9:J16)</f>
        <v>84.585151794272548</v>
      </c>
      <c r="K17" s="60"/>
    </row>
    <row r="18" spans="1:11" x14ac:dyDescent="0.2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</row>
    <row r="19" spans="1:11" x14ac:dyDescent="0.2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</row>
    <row r="20" spans="1:11" ht="14.25" x14ac:dyDescent="0.2">
      <c r="A20" s="72" t="s">
        <v>2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</row>
    <row r="21" spans="1:11" ht="14.25" x14ac:dyDescent="0.2">
      <c r="A21" s="72" t="s">
        <v>39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</row>
    <row r="22" spans="1:11" ht="70.5" customHeight="1" x14ac:dyDescent="0.2">
      <c r="A22" s="98" t="s">
        <v>21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</row>
  </sheetData>
  <mergeCells count="8">
    <mergeCell ref="A22:K22"/>
    <mergeCell ref="A9:A11"/>
    <mergeCell ref="A12:A13"/>
    <mergeCell ref="A14:A16"/>
    <mergeCell ref="E7:J7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3"/>
  <sheetViews>
    <sheetView showGridLines="0" showZeros="0" topLeftCell="A7" zoomScaleNormal="100" workbookViewId="0">
      <selection activeCell="A21" sqref="A21:G21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75</v>
      </c>
    </row>
    <row r="3" spans="1:21" s="3" customFormat="1" ht="22.5" customHeight="1" x14ac:dyDescent="0.15">
      <c r="A3" s="84" t="s">
        <v>23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T3" s="33" t="s">
        <v>9</v>
      </c>
    </row>
    <row r="4" spans="1:21" s="3" customFormat="1" ht="22.5" customHeight="1" x14ac:dyDescent="0.15">
      <c r="A4" s="84" t="s">
        <v>24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spans="1:21" s="3" customFormat="1" ht="24.6" customHeight="1" x14ac:dyDescent="0.15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21" s="3" customFormat="1" ht="24.6" customHeight="1" thickBot="1" x14ac:dyDescent="0.2">
      <c r="A6" s="32"/>
      <c r="B6" s="32"/>
      <c r="C6" s="32"/>
      <c r="D6" s="32"/>
      <c r="E6" s="32"/>
      <c r="F6" s="32"/>
      <c r="G6" s="32"/>
      <c r="H6" s="4"/>
    </row>
    <row r="7" spans="1:21" s="3" customFormat="1" ht="24.75" customHeight="1" thickBot="1" x14ac:dyDescent="0.3">
      <c r="A7" s="2"/>
      <c r="B7" s="6"/>
      <c r="C7" s="7"/>
      <c r="D7" s="7"/>
      <c r="E7" s="78" t="s">
        <v>15</v>
      </c>
      <c r="F7" s="79"/>
      <c r="G7" s="79"/>
      <c r="H7" s="79"/>
      <c r="I7" s="79"/>
      <c r="J7" s="80"/>
      <c r="K7" s="81" t="s">
        <v>35</v>
      </c>
      <c r="L7" s="82"/>
      <c r="M7" s="82"/>
      <c r="N7" s="82"/>
      <c r="O7" s="82"/>
      <c r="P7" s="82"/>
      <c r="Q7" s="83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36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37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thickBot="1" x14ac:dyDescent="0.2">
      <c r="A9" s="19" t="s">
        <v>25</v>
      </c>
      <c r="B9" s="87" t="s">
        <v>30</v>
      </c>
      <c r="C9" s="22">
        <v>1200</v>
      </c>
      <c r="D9" s="23">
        <v>25</v>
      </c>
      <c r="E9" s="92">
        <v>1010</v>
      </c>
      <c r="F9" s="57">
        <f>$U$2*(2-E9/MIN(E$9:E$11))</f>
        <v>75</v>
      </c>
      <c r="G9" s="59">
        <f>D9+F9</f>
        <v>100</v>
      </c>
      <c r="H9" s="43">
        <v>1</v>
      </c>
      <c r="I9" s="35">
        <f>+$C9/$C$17*H9</f>
        <v>0.31578947368421051</v>
      </c>
      <c r="J9" s="36">
        <f t="shared" ref="J9:J16" si="0">+G9*I9</f>
        <v>31.578947368421051</v>
      </c>
      <c r="K9" s="50"/>
      <c r="L9" s="93">
        <f>+$E9*(1-K9)</f>
        <v>1010</v>
      </c>
      <c r="M9" s="57">
        <f>$U$2*(2-L9/MIN(L$9:L$11))</f>
        <v>75</v>
      </c>
      <c r="N9" s="59">
        <f>$D9+M9</f>
        <v>100</v>
      </c>
      <c r="O9" s="34"/>
      <c r="P9" s="35">
        <f>+$C9/$C$17*O9</f>
        <v>0</v>
      </c>
      <c r="Q9" s="36">
        <f>+N9*P9</f>
        <v>0</v>
      </c>
    </row>
    <row r="10" spans="1:21" s="3" customFormat="1" ht="35.1" customHeight="1" thickBot="1" x14ac:dyDescent="0.2">
      <c r="A10" s="20"/>
      <c r="B10" s="87" t="s">
        <v>31</v>
      </c>
      <c r="C10" s="29">
        <v>1200</v>
      </c>
      <c r="D10" s="30">
        <v>0</v>
      </c>
      <c r="E10" s="88">
        <v>1160</v>
      </c>
      <c r="F10" s="62">
        <f>$U$2*(2-E10/MIN(E$9:E$11))</f>
        <v>63.861386138613867</v>
      </c>
      <c r="G10" s="62">
        <f>D10+F10</f>
        <v>63.861386138613867</v>
      </c>
      <c r="H10" s="44"/>
      <c r="I10" s="37">
        <f>+$C10/$C$17*H10</f>
        <v>0</v>
      </c>
      <c r="J10" s="38">
        <f t="shared" si="0"/>
        <v>0</v>
      </c>
      <c r="K10" s="51">
        <v>0.1066</v>
      </c>
      <c r="L10" s="52">
        <f>+$E10*(1-K10)</f>
        <v>1036.3440000000001</v>
      </c>
      <c r="M10" s="31">
        <f>$U$2*(2-L10/MIN(L$9:L$11))</f>
        <v>73.043762376237623</v>
      </c>
      <c r="N10" s="31">
        <f>$D10+M10</f>
        <v>73.043762376237623</v>
      </c>
      <c r="O10" s="45">
        <v>1</v>
      </c>
      <c r="P10" s="37">
        <f>+$C10/$C$17*O10</f>
        <v>0.31578947368421051</v>
      </c>
      <c r="Q10" s="38">
        <f t="shared" ref="Q10:Q16" si="1">+N10*P10</f>
        <v>23.066451276706616</v>
      </c>
    </row>
    <row r="11" spans="1:21" s="3" customFormat="1" ht="35.1" customHeight="1" thickBot="1" x14ac:dyDescent="0.2">
      <c r="A11" s="21"/>
      <c r="B11" s="87" t="s">
        <v>32</v>
      </c>
      <c r="C11" s="29">
        <v>1200</v>
      </c>
      <c r="D11" s="26" t="s">
        <v>34</v>
      </c>
      <c r="E11" s="47" t="s">
        <v>33</v>
      </c>
      <c r="F11" s="48"/>
      <c r="G11" s="48"/>
      <c r="H11" s="54"/>
      <c r="I11" s="39">
        <f>+$C11/$C$17*H11</f>
        <v>0</v>
      </c>
      <c r="J11" s="40">
        <f t="shared" si="0"/>
        <v>0</v>
      </c>
      <c r="K11" s="49"/>
      <c r="L11" s="53"/>
      <c r="M11" s="28"/>
      <c r="N11" s="28"/>
      <c r="O11" s="46"/>
      <c r="P11" s="39">
        <f>+$C11/$C$17*O11</f>
        <v>0</v>
      </c>
      <c r="Q11" s="40">
        <f t="shared" si="1"/>
        <v>0</v>
      </c>
    </row>
    <row r="12" spans="1:21" s="3" customFormat="1" ht="35.1" customHeight="1" thickBot="1" x14ac:dyDescent="0.2">
      <c r="A12" s="19" t="s">
        <v>26</v>
      </c>
      <c r="B12" s="87" t="s">
        <v>31</v>
      </c>
      <c r="C12" s="22">
        <v>600</v>
      </c>
      <c r="D12" s="23"/>
      <c r="E12" s="24">
        <v>535</v>
      </c>
      <c r="F12" s="25">
        <f>$U$2*(2-E12/MIN(E$12:E$13))</f>
        <v>75</v>
      </c>
      <c r="G12" s="90">
        <f t="shared" ref="G12:G16" si="2">D12+F12</f>
        <v>75</v>
      </c>
      <c r="H12" s="43">
        <v>1</v>
      </c>
      <c r="I12" s="35">
        <f>+$C12/$C$17*H12</f>
        <v>0.15789473684210525</v>
      </c>
      <c r="J12" s="36">
        <f t="shared" si="0"/>
        <v>11.842105263157894</v>
      </c>
      <c r="K12" s="50">
        <v>0.1066</v>
      </c>
      <c r="L12" s="93">
        <f t="shared" ref="L12:L16" si="3">+$E12*(1-K12)</f>
        <v>477.96899999999999</v>
      </c>
      <c r="M12" s="57">
        <f>$U$2*(2-L12/MIN(L$12:L$13))</f>
        <v>75</v>
      </c>
      <c r="N12" s="59">
        <f t="shared" ref="N12:N16" si="4">$D12+M12</f>
        <v>75</v>
      </c>
      <c r="O12" s="34">
        <v>1</v>
      </c>
      <c r="P12" s="35">
        <f>+$C12/$C$17*O12</f>
        <v>0.15789473684210525</v>
      </c>
      <c r="Q12" s="36">
        <f t="shared" si="1"/>
        <v>11.842105263157894</v>
      </c>
    </row>
    <row r="13" spans="1:21" s="3" customFormat="1" ht="35.1" customHeight="1" thickBot="1" x14ac:dyDescent="0.2">
      <c r="A13" s="21"/>
      <c r="B13" s="87" t="s">
        <v>32</v>
      </c>
      <c r="C13" s="29">
        <v>600</v>
      </c>
      <c r="D13" s="26" t="s">
        <v>34</v>
      </c>
      <c r="E13" s="47" t="s">
        <v>33</v>
      </c>
      <c r="F13" s="48"/>
      <c r="G13" s="48"/>
      <c r="H13" s="54"/>
      <c r="I13" s="39">
        <f>+$C13/$C$17*H13</f>
        <v>0</v>
      </c>
      <c r="J13" s="40">
        <f t="shared" ref="J13" si="5">+G13*I13</f>
        <v>0</v>
      </c>
      <c r="K13" s="49"/>
      <c r="L13" s="53"/>
      <c r="M13" s="28"/>
      <c r="N13" s="28"/>
      <c r="O13" s="46"/>
      <c r="P13" s="39">
        <f>+$C13/$C$17*O13</f>
        <v>0</v>
      </c>
      <c r="Q13" s="40">
        <f t="shared" ref="Q13" si="6">+N13*P13</f>
        <v>0</v>
      </c>
    </row>
    <row r="14" spans="1:21" s="3" customFormat="1" ht="35.1" customHeight="1" thickBot="1" x14ac:dyDescent="0.2">
      <c r="A14" s="19" t="s">
        <v>27</v>
      </c>
      <c r="B14" s="87" t="s">
        <v>30</v>
      </c>
      <c r="C14" s="22">
        <v>2000</v>
      </c>
      <c r="D14" s="23">
        <v>25</v>
      </c>
      <c r="E14" s="24">
        <v>1960</v>
      </c>
      <c r="F14" s="25">
        <f>$U$2*(2-E14/MIN(E$14:E$16))</f>
        <v>63.529411764705891</v>
      </c>
      <c r="G14" s="91">
        <f t="shared" si="2"/>
        <v>88.529411764705884</v>
      </c>
      <c r="H14" s="43">
        <v>1</v>
      </c>
      <c r="I14" s="35">
        <f>+$C14/$C$17*H14</f>
        <v>0.52631578947368418</v>
      </c>
      <c r="J14" s="36">
        <f t="shared" si="0"/>
        <v>46.594427244582043</v>
      </c>
      <c r="K14" s="50"/>
      <c r="L14" s="93">
        <f t="shared" si="3"/>
        <v>1960</v>
      </c>
      <c r="M14" s="57">
        <f>$U$2*(2-L14/MIN(L$14:L$16))</f>
        <v>53.211788409117851</v>
      </c>
      <c r="N14" s="59">
        <f t="shared" si="4"/>
        <v>78.211788409117844</v>
      </c>
      <c r="O14" s="34"/>
      <c r="P14" s="35">
        <f>+$C14/$C$17*O14</f>
        <v>0</v>
      </c>
      <c r="Q14" s="36">
        <f t="shared" si="1"/>
        <v>0</v>
      </c>
    </row>
    <row r="15" spans="1:21" s="3" customFormat="1" ht="35.1" customHeight="1" thickBot="1" x14ac:dyDescent="0.2">
      <c r="A15" s="20"/>
      <c r="B15" s="87" t="s">
        <v>32</v>
      </c>
      <c r="C15" s="22">
        <v>2000</v>
      </c>
      <c r="D15" s="30"/>
      <c r="E15" s="88">
        <v>1885</v>
      </c>
      <c r="F15" s="62">
        <f>$U$2*(2-E15/MIN(E$14:E$16))</f>
        <v>66.838235294117638</v>
      </c>
      <c r="G15" s="89">
        <f t="shared" si="2"/>
        <v>66.838235294117638</v>
      </c>
      <c r="H15" s="44"/>
      <c r="I15" s="37">
        <f>+$C15/$C$17*H15</f>
        <v>0</v>
      </c>
      <c r="J15" s="38">
        <f t="shared" si="0"/>
        <v>0</v>
      </c>
      <c r="K15" s="51"/>
      <c r="L15" s="61">
        <f t="shared" si="3"/>
        <v>1885</v>
      </c>
      <c r="M15" s="62">
        <f>$U$2*(2-L15/MIN(L$14:L$16))</f>
        <v>56.915418954687318</v>
      </c>
      <c r="N15" s="62">
        <f t="shared" si="4"/>
        <v>56.915418954687318</v>
      </c>
      <c r="O15" s="37"/>
      <c r="P15" s="37">
        <f>+$C15/$C$17*O15</f>
        <v>0</v>
      </c>
      <c r="Q15" s="38">
        <f t="shared" si="1"/>
        <v>0</v>
      </c>
    </row>
    <row r="16" spans="1:21" s="3" customFormat="1" ht="35.1" customHeight="1" thickBot="1" x14ac:dyDescent="0.2">
      <c r="A16" s="21"/>
      <c r="B16" s="87" t="s">
        <v>31</v>
      </c>
      <c r="C16" s="22">
        <v>2000</v>
      </c>
      <c r="D16" s="26"/>
      <c r="E16" s="27">
        <v>1700</v>
      </c>
      <c r="F16" s="28">
        <f>$U$2*(2-E16/MIN(E$14:E$16))</f>
        <v>75</v>
      </c>
      <c r="G16" s="58">
        <f t="shared" si="2"/>
        <v>75</v>
      </c>
      <c r="H16" s="54"/>
      <c r="I16" s="39">
        <f>+$C16/$C$17*H16</f>
        <v>0</v>
      </c>
      <c r="J16" s="40">
        <f t="shared" si="0"/>
        <v>0</v>
      </c>
      <c r="K16" s="49">
        <v>0.1066</v>
      </c>
      <c r="L16" s="53">
        <f t="shared" si="3"/>
        <v>1518.78</v>
      </c>
      <c r="M16" s="28">
        <f>$U$2*(2-L16/MIN(L$14:L$16))</f>
        <v>75</v>
      </c>
      <c r="N16" s="28">
        <f t="shared" si="4"/>
        <v>75</v>
      </c>
      <c r="O16" s="34">
        <v>1</v>
      </c>
      <c r="P16" s="39">
        <f>+$C16/$C$17*O16</f>
        <v>0.52631578947368418</v>
      </c>
      <c r="Q16" s="40">
        <f t="shared" si="1"/>
        <v>39.473684210526315</v>
      </c>
    </row>
    <row r="17" spans="1:17" ht="42.75" customHeight="1" thickBot="1" x14ac:dyDescent="0.25">
      <c r="B17" s="41" t="s">
        <v>13</v>
      </c>
      <c r="C17" s="42">
        <f>C9+C12+C14</f>
        <v>3800</v>
      </c>
      <c r="I17" s="55" t="s">
        <v>14</v>
      </c>
      <c r="J17" s="56">
        <f>SUM(J9:J16)</f>
        <v>90.015479876160981</v>
      </c>
      <c r="P17" s="55" t="s">
        <v>14</v>
      </c>
      <c r="Q17" s="56">
        <f>SUM(Q9:Q16)</f>
        <v>74.382240750390821</v>
      </c>
    </row>
    <row r="19" spans="1:17" ht="14.25" x14ac:dyDescent="0.2">
      <c r="A19" s="1" t="s">
        <v>2</v>
      </c>
    </row>
    <row r="20" spans="1:17" ht="14.25" x14ac:dyDescent="0.2">
      <c r="A20" s="1" t="s">
        <v>22</v>
      </c>
    </row>
    <row r="21" spans="1:17" ht="119.25" customHeight="1" x14ac:dyDescent="0.2">
      <c r="A21" s="85" t="s">
        <v>21</v>
      </c>
      <c r="B21" s="86"/>
      <c r="C21" s="86"/>
      <c r="D21" s="86"/>
      <c r="E21" s="86"/>
      <c r="F21" s="86"/>
      <c r="G21" s="86"/>
    </row>
    <row r="23" spans="1:17" ht="56.25" customHeight="1" x14ac:dyDescent="0.2">
      <c r="A23" s="77"/>
      <c r="B23" s="77"/>
      <c r="C23" s="77"/>
      <c r="D23" s="77"/>
      <c r="E23" s="77"/>
      <c r="F23" s="77"/>
      <c r="G23" s="77"/>
    </row>
  </sheetData>
  <mergeCells count="7">
    <mergeCell ref="A23:G23"/>
    <mergeCell ref="E7:J7"/>
    <mergeCell ref="K7:Q7"/>
    <mergeCell ref="A3:Q3"/>
    <mergeCell ref="A4:Q4"/>
    <mergeCell ref="A5:Q5"/>
    <mergeCell ref="A21:G2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Felisa Sanchez Gonzalez</cp:lastModifiedBy>
  <cp:lastPrinted>2024-01-03T10:55:52Z</cp:lastPrinted>
  <dcterms:created xsi:type="dcterms:W3CDTF">2007-03-30T09:59:06Z</dcterms:created>
  <dcterms:modified xsi:type="dcterms:W3CDTF">2024-01-03T10:56:36Z</dcterms:modified>
</cp:coreProperties>
</file>