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3\EXPEDIENTES COMITÉ\3.- INFORME TECNICO\S-05527-2023 RENOV.ELECTRONICA DE RED\INFORME\"/>
    </mc:Choice>
  </mc:AlternateContent>
  <xr:revisionPtr revIDLastSave="0" documentId="13_ncr:1_{A470AA18-A202-469E-97C7-32C612E071C3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ADJUDICADA'!$A$1:$K$22</definedName>
    <definedName name="_xlnm.Print_Area" localSheetId="1">valoración!$A$2:$Q$22</definedName>
  </definedNames>
  <calcPr calcId="191029"/>
</workbook>
</file>

<file path=xl/calcChain.xml><?xml version="1.0" encoding="utf-8"?>
<calcChain xmlns="http://schemas.openxmlformats.org/spreadsheetml/2006/main">
  <c r="K17" i="6" l="1"/>
  <c r="K16" i="6"/>
  <c r="K15" i="6"/>
  <c r="K14" i="6"/>
  <c r="K13" i="6"/>
  <c r="K12" i="6"/>
  <c r="K11" i="6"/>
  <c r="K10" i="6"/>
  <c r="J18" i="6" l="1"/>
  <c r="C18" i="6"/>
  <c r="U15" i="5"/>
  <c r="S12" i="5"/>
  <c r="L9" i="5"/>
  <c r="N15" i="5"/>
  <c r="N17" i="5"/>
  <c r="G17" i="5" l="1"/>
  <c r="F16" i="5"/>
  <c r="G16" i="5" s="1"/>
  <c r="G15" i="5"/>
  <c r="L16" i="5" l="1"/>
  <c r="S16" i="5"/>
  <c r="L15" i="5"/>
  <c r="S15" i="5"/>
  <c r="F12" i="5"/>
  <c r="G12" i="5" s="1"/>
  <c r="S17" i="5"/>
  <c r="W14" i="5"/>
  <c r="S14" i="5"/>
  <c r="T14" i="5" s="1"/>
  <c r="U14" i="5" s="1"/>
  <c r="X14" i="5" s="1"/>
  <c r="S13" i="5"/>
  <c r="S11" i="5"/>
  <c r="S10" i="5"/>
  <c r="S9" i="5"/>
  <c r="C18" i="5"/>
  <c r="W15" i="5" s="1"/>
  <c r="X15" i="5" s="1"/>
  <c r="T9" i="5" l="1"/>
  <c r="U9" i="5" s="1"/>
  <c r="T12" i="5"/>
  <c r="U12" i="5" s="1"/>
  <c r="W10" i="5"/>
  <c r="I12" i="5"/>
  <c r="W11" i="5"/>
  <c r="W12" i="5"/>
  <c r="X12" i="5" s="1"/>
  <c r="W13" i="5"/>
  <c r="T16" i="5"/>
  <c r="U16" i="5" s="1"/>
  <c r="U17" i="5"/>
  <c r="T13" i="5"/>
  <c r="U13" i="5" s="1"/>
  <c r="X13" i="5" s="1"/>
  <c r="J12" i="5"/>
  <c r="T10" i="5"/>
  <c r="U10" i="5" s="1"/>
  <c r="X10" i="5" s="1"/>
  <c r="T11" i="5"/>
  <c r="U11" i="5" s="1"/>
  <c r="X11" i="5" s="1"/>
  <c r="K9" i="6"/>
  <c r="X18" i="5" l="1"/>
  <c r="A4" i="6"/>
  <c r="A3" i="6"/>
  <c r="A2" i="6"/>
  <c r="L17" i="5" l="1"/>
  <c r="L14" i="5"/>
  <c r="I14" i="5"/>
  <c r="F14" i="5"/>
  <c r="G14" i="5" s="1"/>
  <c r="P13" i="5"/>
  <c r="L13" i="5"/>
  <c r="F13" i="5"/>
  <c r="G13" i="5" s="1"/>
  <c r="P12" i="5"/>
  <c r="L11" i="5"/>
  <c r="F11" i="5"/>
  <c r="G11" i="5" s="1"/>
  <c r="P10" i="5"/>
  <c r="L10" i="5"/>
  <c r="F10" i="5"/>
  <c r="G10" i="5" s="1"/>
  <c r="P9" i="5"/>
  <c r="I9" i="5"/>
  <c r="F9" i="5"/>
  <c r="G9" i="5" s="1"/>
  <c r="M16" i="5" l="1"/>
  <c r="N16" i="5" s="1"/>
  <c r="M12" i="5"/>
  <c r="N12" i="5" s="1"/>
  <c r="Q12" i="5" s="1"/>
  <c r="J10" i="5"/>
  <c r="P11" i="5"/>
  <c r="I11" i="5"/>
  <c r="J11" i="5" s="1"/>
  <c r="I17" i="5"/>
  <c r="J17" i="5" s="1"/>
  <c r="J14" i="5"/>
  <c r="I13" i="5"/>
  <c r="J13" i="5"/>
  <c r="J9" i="5"/>
  <c r="M9" i="5"/>
  <c r="N9" i="5" s="1"/>
  <c r="Q9" i="5" s="1"/>
  <c r="M14" i="5"/>
  <c r="N14" i="5" s="1"/>
  <c r="M13" i="5"/>
  <c r="N13" i="5" s="1"/>
  <c r="Q13" i="5" s="1"/>
  <c r="M10" i="5"/>
  <c r="N10" i="5" s="1"/>
  <c r="Q10" i="5" s="1"/>
  <c r="M11" i="5"/>
  <c r="N11" i="5" s="1"/>
  <c r="Q11" i="5" l="1"/>
  <c r="Q18" i="5" s="1"/>
  <c r="J18" i="5"/>
</calcChain>
</file>

<file path=xl/sharedStrings.xml><?xml version="1.0" encoding="utf-8"?>
<sst xmlns="http://schemas.openxmlformats.org/spreadsheetml/2006/main" count="77" uniqueCount="38">
  <si>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</si>
  <si>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</si>
  <si>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</si>
  <si>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</si>
  <si>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</si>
  <si>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</si>
  <si>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Madrid, a XX de XXXXXX de 20xx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</si>
  <si>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</si>
  <si>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</si>
  <si>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</si>
  <si>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</si>
  <si>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</si>
  <si>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</si>
  <si>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</si>
  <si>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</si>
  <si>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</si>
  <si>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</si>
  <si>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</si>
  <si>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</si>
  <si>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</si>
  <si>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</si>
  <si>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ATOS HOLDING IBERIA, S.L.</t>
  </si>
  <si>
    <t>NTT SPAIN INTELLIGENT TECHNOLOGIES AND SERVICES, SLU</t>
  </si>
  <si>
    <t>NUNSYS, S.A.</t>
  </si>
  <si>
    <t>SPECIALIST COMPUTER CENTRES (SCC)</t>
  </si>
  <si>
    <t>TELEFÓNICA SOLUCIONES DE INFORMÁTICA Y COMUNICACIONES DE ESPAÑA, SAU</t>
  </si>
  <si>
    <t>NTL LANBASE, S.L.U.</t>
  </si>
  <si>
    <t>LOTE 1: Adquisición de electrónica de red para su renovación</t>
  </si>
  <si>
    <t>LOTE 2: Sistema de supervisión y gestión centralizada del cortafuegos</t>
  </si>
  <si>
    <t>PROPUESTA DE ADJUDICACIÓN DEL EXPEDIENTE S-05527-2023</t>
  </si>
  <si>
    <t>"Renovación de la electrónica de red del Sistema de Contribución 2024"</t>
  </si>
  <si>
    <t>Alternativa 2: oferta conjunta ATOS por los dos lotes (0,5% de descuento al lote 1+1% de descuento al lote 2)</t>
  </si>
  <si>
    <r>
      <t>Importe Oferta</t>
    </r>
    <r>
      <rPr>
        <b/>
        <i/>
        <sz val="12"/>
        <rFont val="Tahoma"/>
        <family val="2"/>
      </rPr>
      <t xml:space="preserve"> </t>
    </r>
  </si>
  <si>
    <t xml:space="preserve">Valor estimado        </t>
  </si>
  <si>
    <t xml:space="preserve">Valor estimado             </t>
  </si>
  <si>
    <t>Importe Oferta</t>
  </si>
  <si>
    <t>Alternativa 3: oferta conjunta NUNSYS por los  dos lotes (0,25% de descuento a ambos lotes)</t>
  </si>
  <si>
    <t>Madrid, a 18 de enero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</si>
</sst>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00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10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1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4" fontId="6" fillId="0" borderId="20" xfId="0" applyNumberFormat="1" applyFont="1" applyFill="1" applyBorder="1" applyAlignment="1">
      <alignment horizontal="center" vertical="center"/>
    </xf>
    <xf numFmtId="166" fontId="6" fillId="0" borderId="18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right" vertical="center" wrapText="1"/>
    </xf>
    <xf numFmtId="166" fontId="17" fillId="0" borderId="21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4" xfId="0" applyNumberFormat="1" applyFont="1" applyFill="1" applyBorder="1" applyAlignment="1">
      <alignment horizontal="left" vertical="top" wrapText="1"/>
    </xf>
    <xf numFmtId="164" fontId="5" fillId="0" borderId="25" xfId="2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0" fillId="4" borderId="0" xfId="0" applyFill="1"/>
    <xf numFmtId="0" fontId="6" fillId="4" borderId="11" xfId="0" applyNumberFormat="1" applyFont="1" applyFill="1" applyBorder="1" applyAlignment="1">
      <alignment horizontal="center" vertical="center" wrapText="1"/>
    </xf>
    <xf numFmtId="166" fontId="6" fillId="4" borderId="12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10" fontId="5" fillId="4" borderId="12" xfId="0" applyNumberFormat="1" applyFont="1" applyFill="1" applyBorder="1" applyAlignment="1">
      <alignment horizontal="center" vertical="center"/>
    </xf>
    <xf numFmtId="164" fontId="5" fillId="4" borderId="13" xfId="2" applyFont="1" applyFill="1" applyBorder="1" applyAlignment="1">
      <alignment horizontal="center" vertical="center"/>
    </xf>
    <xf numFmtId="0" fontId="6" fillId="4" borderId="7" xfId="0" applyNumberFormat="1" applyFont="1" applyFill="1" applyBorder="1" applyAlignment="1">
      <alignment horizontal="center" vertical="center" wrapText="1"/>
    </xf>
    <xf numFmtId="166" fontId="6" fillId="4" borderId="2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166" fontId="6" fillId="4" borderId="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0" fontId="1" fillId="4" borderId="2" xfId="0" applyFont="1" applyFill="1" applyBorder="1"/>
    <xf numFmtId="10" fontId="5" fillId="4" borderId="2" xfId="0" applyNumberFormat="1" applyFont="1" applyFill="1" applyBorder="1" applyAlignment="1">
      <alignment horizontal="center" vertical="center"/>
    </xf>
    <xf numFmtId="164" fontId="5" fillId="4" borderId="14" xfId="2" applyFont="1" applyFill="1" applyBorder="1" applyAlignment="1">
      <alignment horizontal="center" vertical="center"/>
    </xf>
    <xf numFmtId="4" fontId="6" fillId="4" borderId="27" xfId="0" applyNumberFormat="1" applyFont="1" applyFill="1" applyBorder="1" applyAlignment="1">
      <alignment horizontal="center" vertical="center"/>
    </xf>
    <xf numFmtId="0" fontId="6" fillId="4" borderId="18" xfId="0" applyNumberFormat="1" applyFont="1" applyFill="1" applyBorder="1" applyAlignment="1">
      <alignment horizontal="center" vertical="center" wrapText="1"/>
    </xf>
    <xf numFmtId="166" fontId="6" fillId="4" borderId="19" xfId="0" applyNumberFormat="1" applyFont="1" applyFill="1" applyBorder="1" applyAlignment="1">
      <alignment horizontal="center" vertical="center"/>
    </xf>
    <xf numFmtId="4" fontId="6" fillId="4" borderId="20" xfId="0" applyNumberFormat="1" applyFont="1" applyFill="1" applyBorder="1" applyAlignment="1">
      <alignment horizontal="center" vertical="center"/>
    </xf>
    <xf numFmtId="0" fontId="1" fillId="4" borderId="12" xfId="0" applyFont="1" applyFill="1" applyBorder="1"/>
    <xf numFmtId="166" fontId="6" fillId="4" borderId="16" xfId="0" applyNumberFormat="1" applyFont="1" applyFill="1" applyBorder="1" applyAlignment="1">
      <alignment horizontal="center" vertical="center"/>
    </xf>
    <xf numFmtId="4" fontId="6" fillId="4" borderId="17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0" fontId="9" fillId="4" borderId="21" xfId="0" applyNumberFormat="1" applyFont="1" applyFill="1" applyBorder="1" applyAlignment="1">
      <alignment horizontal="right" vertical="center" wrapText="1"/>
    </xf>
    <xf numFmtId="166" fontId="17" fillId="4" borderId="21" xfId="0" applyNumberFormat="1" applyFont="1" applyFill="1" applyBorder="1" applyAlignment="1">
      <alignment horizontal="center" vertical="center"/>
    </xf>
    <xf numFmtId="0" fontId="3" fillId="4" borderId="0" xfId="0" applyFont="1" applyFill="1" applyBorder="1"/>
    <xf numFmtId="0" fontId="16" fillId="4" borderId="24" xfId="0" applyNumberFormat="1" applyFont="1" applyFill="1" applyBorder="1" applyAlignment="1">
      <alignment horizontal="right" vertical="top" wrapText="1"/>
    </xf>
    <xf numFmtId="164" fontId="5" fillId="4" borderId="25" xfId="2" applyFont="1" applyFill="1" applyBorder="1" applyAlignment="1">
      <alignment horizontal="center" vertical="center"/>
    </xf>
    <xf numFmtId="0" fontId="5" fillId="4" borderId="6" xfId="0" applyFont="1" applyFill="1" applyBorder="1"/>
    <xf numFmtId="165" fontId="5" fillId="0" borderId="18" xfId="2" applyNumberFormat="1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166" fontId="6" fillId="0" borderId="19" xfId="0" applyNumberFormat="1" applyFont="1" applyFill="1" applyBorder="1" applyAlignment="1">
      <alignment horizontal="right" vertical="center" indent="1"/>
    </xf>
    <xf numFmtId="0" fontId="1" fillId="0" borderId="19" xfId="0" applyFont="1" applyFill="1" applyBorder="1"/>
    <xf numFmtId="0" fontId="6" fillId="0" borderId="2" xfId="0" applyFont="1" applyFill="1" applyBorder="1" applyAlignment="1">
      <alignment horizontal="center" vertical="center"/>
    </xf>
    <xf numFmtId="10" fontId="5" fillId="0" borderId="11" xfId="3" applyNumberFormat="1" applyFont="1" applyFill="1" applyBorder="1" applyAlignment="1">
      <alignment horizontal="center" vertical="center"/>
    </xf>
    <xf numFmtId="10" fontId="5" fillId="0" borderId="15" xfId="3" applyNumberFormat="1" applyFont="1" applyFill="1" applyBorder="1" applyAlignment="1">
      <alignment horizontal="center" vertical="center"/>
    </xf>
    <xf numFmtId="10" fontId="5" fillId="0" borderId="18" xfId="3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/>
    <xf numFmtId="4" fontId="3" fillId="0" borderId="0" xfId="0" applyNumberFormat="1" applyFont="1" applyFill="1" applyBorder="1"/>
    <xf numFmtId="4" fontId="6" fillId="0" borderId="0" xfId="0" applyNumberFormat="1" applyFont="1" applyFill="1" applyBorder="1" applyAlignment="1">
      <alignment horizontal="right" vertical="center" indent="1"/>
    </xf>
    <xf numFmtId="166" fontId="6" fillId="4" borderId="19" xfId="0" applyNumberFormat="1" applyFont="1" applyFill="1" applyBorder="1" applyAlignment="1">
      <alignment horizontal="right" vertical="center" indent="1"/>
    </xf>
    <xf numFmtId="4" fontId="6" fillId="4" borderId="19" xfId="0" applyNumberFormat="1" applyFont="1" applyFill="1" applyBorder="1" applyAlignment="1">
      <alignment horizontal="right" vertical="center" indent="1"/>
    </xf>
    <xf numFmtId="0" fontId="1" fillId="4" borderId="19" xfId="0" applyFont="1" applyFill="1" applyBorder="1"/>
    <xf numFmtId="10" fontId="5" fillId="4" borderId="19" xfId="0" applyNumberFormat="1" applyFont="1" applyFill="1" applyBorder="1" applyAlignment="1">
      <alignment horizontal="center" vertical="center"/>
    </xf>
    <xf numFmtId="164" fontId="5" fillId="4" borderId="20" xfId="2" applyFont="1" applyFill="1" applyBorder="1" applyAlignment="1">
      <alignment horizontal="center" vertical="center"/>
    </xf>
    <xf numFmtId="4" fontId="6" fillId="0" borderId="26" xfId="0" applyNumberFormat="1" applyFont="1" applyFill="1" applyBorder="1" applyAlignment="1">
      <alignment horizontal="center" vertical="center"/>
    </xf>
    <xf numFmtId="4" fontId="6" fillId="0" borderId="27" xfId="0" applyNumberFormat="1" applyFont="1" applyFill="1" applyBorder="1" applyAlignment="1">
      <alignment horizontal="center" vertical="center"/>
    </xf>
    <xf numFmtId="167" fontId="0" fillId="0" borderId="0" xfId="3" applyNumberFormat="1" applyFont="1"/>
    <xf numFmtId="0" fontId="6" fillId="5" borderId="18" xfId="0" applyNumberFormat="1" applyFont="1" applyFill="1" applyBorder="1" applyAlignment="1">
      <alignment horizontal="center" vertical="center" wrapText="1"/>
    </xf>
    <xf numFmtId="166" fontId="6" fillId="5" borderId="19" xfId="0" applyNumberFormat="1" applyFont="1" applyFill="1" applyBorder="1" applyAlignment="1">
      <alignment horizontal="center" vertical="center"/>
    </xf>
    <xf numFmtId="4" fontId="6" fillId="5" borderId="20" xfId="0" applyNumberFormat="1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0" fontId="5" fillId="5" borderId="2" xfId="0" applyFont="1" applyFill="1" applyBorder="1" applyAlignment="1">
      <alignment horizontal="center" vertical="center"/>
    </xf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4" fontId="6" fillId="5" borderId="27" xfId="0" applyNumberFormat="1" applyFont="1" applyFill="1" applyBorder="1" applyAlignment="1">
      <alignment horizontal="center" vertical="center"/>
    </xf>
    <xf numFmtId="0" fontId="6" fillId="5" borderId="7" xfId="0" applyNumberFormat="1" applyFont="1" applyFill="1" applyBorder="1" applyAlignment="1">
      <alignment horizontal="center" vertical="center" wrapText="1"/>
    </xf>
    <xf numFmtId="166" fontId="6" fillId="5" borderId="2" xfId="0" applyNumberFormat="1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center" vertical="center"/>
    </xf>
    <xf numFmtId="0" fontId="0" fillId="4" borderId="28" xfId="0" applyFill="1" applyBorder="1"/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9" fontId="18" fillId="4" borderId="22" xfId="3" applyFont="1" applyFill="1" applyBorder="1" applyAlignment="1">
      <alignment horizontal="center" vertical="center"/>
    </xf>
    <xf numFmtId="9" fontId="18" fillId="4" borderId="23" xfId="3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/>
    </xf>
    <xf numFmtId="9" fontId="20" fillId="0" borderId="4" xfId="3" applyFont="1" applyFill="1" applyBorder="1" applyAlignment="1">
      <alignment horizontal="center" vertical="center"/>
    </xf>
    <xf numFmtId="9" fontId="20" fillId="0" borderId="22" xfId="3" applyFont="1" applyFill="1" applyBorder="1" applyAlignment="1">
      <alignment horizontal="center" vertical="center"/>
    </xf>
    <xf numFmtId="9" fontId="20" fillId="0" borderId="23" xfId="3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center" vertical="center"/>
    </xf>
    <xf numFmtId="165" fontId="18" fillId="0" borderId="22" xfId="2" applyNumberFormat="1" applyFont="1" applyFill="1" applyBorder="1" applyAlignment="1">
      <alignment horizontal="center" vertical="center"/>
    </xf>
    <xf numFmtId="165" fontId="18" fillId="0" borderId="23" xfId="2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66" fontId="0" fillId="0" borderId="0" xfId="0" applyNumberFormat="1"/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5"/>
  <sheetViews>
    <sheetView tabSelected="1" topLeftCell="A10" workbookViewId="0">
      <selection activeCell="G25" sqref="G25"/>
    </sheetView>
  </sheetViews>
  <sheetFormatPr baseColWidth="10" defaultRowHeight="12.75" x14ac:dyDescent="0.2"/>
  <cols>
    <col min="1" max="1" width="32.85546875" customWidth="1"/>
    <col min="2" max="2" width="18.42578125" customWidth="1"/>
    <col min="3" max="3" width="29.5703125" customWidth="1"/>
    <col min="4" max="4" width="21.140625" customWidth="1"/>
    <col min="5" max="10" width="16.7109375" customWidth="1"/>
    <col min="11" max="11" width="16.140625" customWidth="1"/>
  </cols>
  <sheetData>
    <row r="1" spans="1:12" ht="48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2" ht="18" x14ac:dyDescent="0.25">
      <c r="A2" s="131" t="str">
        <f>valoración!A3</f>
        <v>PROPUESTA DE ADJUDICACIÓN DEL EXPEDIENTE S-05527-2023</v>
      </c>
      <c r="B2" s="131"/>
      <c r="C2" s="131"/>
      <c r="D2" s="131"/>
      <c r="E2" s="131"/>
      <c r="F2" s="131"/>
      <c r="G2" s="131"/>
      <c r="H2" s="131"/>
      <c r="I2" s="131"/>
      <c r="J2" s="131"/>
      <c r="K2" s="62"/>
    </row>
    <row r="3" spans="1:12" ht="18" x14ac:dyDescent="0.25">
      <c r="A3" s="131" t="str">
        <f>valoración!A4</f>
        <v>"Renovación de la electrónica de red del Sistema de Contribución 2024"</v>
      </c>
      <c r="B3" s="131"/>
      <c r="C3" s="131"/>
      <c r="D3" s="131"/>
      <c r="E3" s="131"/>
      <c r="F3" s="131"/>
      <c r="G3" s="131"/>
      <c r="H3" s="131"/>
      <c r="I3" s="131"/>
      <c r="J3" s="131"/>
      <c r="K3" s="62"/>
    </row>
    <row r="4" spans="1:12" ht="18" x14ac:dyDescent="0.25">
      <c r="A4" s="131" t="str">
        <f>valoración!A5</f>
        <v>RESUMEN PUNTUACIÓN TÉCNICA Y ECONÓMICA</v>
      </c>
      <c r="B4" s="131"/>
      <c r="C4" s="131"/>
      <c r="D4" s="131"/>
      <c r="E4" s="131"/>
      <c r="F4" s="131"/>
      <c r="G4" s="131"/>
      <c r="H4" s="131"/>
      <c r="I4" s="131"/>
      <c r="J4" s="131"/>
      <c r="K4" s="62"/>
    </row>
    <row r="5" spans="1:12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</row>
    <row r="6" spans="1:12" ht="13.5" thickBot="1" x14ac:dyDescent="0.2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</row>
    <row r="7" spans="1:12" ht="30.75" customHeight="1" thickBot="1" x14ac:dyDescent="0.25">
      <c r="A7" s="62"/>
      <c r="B7" s="62"/>
      <c r="C7" s="62"/>
      <c r="D7" s="125"/>
      <c r="E7" s="129" t="s">
        <v>15</v>
      </c>
      <c r="F7" s="129"/>
      <c r="G7" s="129"/>
      <c r="H7" s="129"/>
      <c r="I7" s="129"/>
      <c r="J7" s="130"/>
      <c r="K7" s="62"/>
    </row>
    <row r="8" spans="1:12" ht="30.75" thickBot="1" x14ac:dyDescent="0.25">
      <c r="A8" s="15" t="s">
        <v>4</v>
      </c>
      <c r="B8" s="16" t="s">
        <v>5</v>
      </c>
      <c r="C8" s="17" t="s">
        <v>34</v>
      </c>
      <c r="D8" s="18" t="s">
        <v>0</v>
      </c>
      <c r="E8" s="16" t="s">
        <v>35</v>
      </c>
      <c r="F8" s="17" t="s">
        <v>1</v>
      </c>
      <c r="G8" s="17" t="s">
        <v>17</v>
      </c>
      <c r="H8" s="17" t="s">
        <v>10</v>
      </c>
      <c r="I8" s="17" t="s">
        <v>11</v>
      </c>
      <c r="J8" s="18" t="s">
        <v>12</v>
      </c>
      <c r="K8" s="17" t="s">
        <v>20</v>
      </c>
    </row>
    <row r="9" spans="1:12" ht="35.1" customHeight="1" x14ac:dyDescent="0.2">
      <c r="A9" s="126" t="s">
        <v>27</v>
      </c>
      <c r="B9" s="63" t="s">
        <v>21</v>
      </c>
      <c r="C9" s="64">
        <v>557063.59</v>
      </c>
      <c r="D9" s="65">
        <v>14</v>
      </c>
      <c r="E9" s="51">
        <v>518668.79999999999</v>
      </c>
      <c r="F9" s="22">
        <v>64.971020072373889</v>
      </c>
      <c r="G9" s="22">
        <v>78.971020072373889</v>
      </c>
      <c r="H9" s="34"/>
      <c r="I9" s="35"/>
      <c r="J9" s="36">
        <v>0</v>
      </c>
      <c r="K9" s="110">
        <f t="shared" ref="K9:K17" si="0">100-($E9*100/$C9)</f>
        <v>6.8923531692315407</v>
      </c>
      <c r="L9" s="112"/>
    </row>
    <row r="10" spans="1:12" ht="43.5" customHeight="1" x14ac:dyDescent="0.2">
      <c r="A10" s="127"/>
      <c r="B10" s="70" t="s">
        <v>26</v>
      </c>
      <c r="C10" s="71">
        <v>557063.59</v>
      </c>
      <c r="D10" s="72">
        <v>13</v>
      </c>
      <c r="E10" s="73">
        <v>517060.26</v>
      </c>
      <c r="F10" s="74">
        <v>65.203706355745439</v>
      </c>
      <c r="G10" s="74">
        <v>78.203706355745439</v>
      </c>
      <c r="H10" s="75"/>
      <c r="I10" s="76"/>
      <c r="J10" s="77">
        <v>0</v>
      </c>
      <c r="K10" s="78">
        <f t="shared" si="0"/>
        <v>7.1811065591272865</v>
      </c>
      <c r="L10" s="112"/>
    </row>
    <row r="11" spans="1:12" ht="43.5" customHeight="1" x14ac:dyDescent="0.2">
      <c r="A11" s="127"/>
      <c r="B11" s="113" t="s">
        <v>22</v>
      </c>
      <c r="C11" s="114">
        <v>557063.59</v>
      </c>
      <c r="D11" s="115">
        <v>30</v>
      </c>
      <c r="E11" s="116">
        <v>483903.9</v>
      </c>
      <c r="F11" s="117">
        <v>70</v>
      </c>
      <c r="G11" s="117">
        <v>100</v>
      </c>
      <c r="H11" s="118">
        <v>1</v>
      </c>
      <c r="I11" s="119">
        <v>0.95704936637593152</v>
      </c>
      <c r="J11" s="120">
        <v>95.70493663759315</v>
      </c>
      <c r="K11" s="121">
        <f t="shared" si="0"/>
        <v>13.133094912916491</v>
      </c>
      <c r="L11" s="112"/>
    </row>
    <row r="12" spans="1:12" ht="35.1" customHeight="1" thickBot="1" x14ac:dyDescent="0.25">
      <c r="A12" s="128"/>
      <c r="B12" s="79" t="s">
        <v>23</v>
      </c>
      <c r="C12" s="80">
        <v>557063.59</v>
      </c>
      <c r="D12" s="81">
        <v>14</v>
      </c>
      <c r="E12" s="73">
        <v>539884.37</v>
      </c>
      <c r="F12" s="74">
        <v>61.90204315360964</v>
      </c>
      <c r="G12" s="74">
        <v>75.90204315360964</v>
      </c>
      <c r="H12" s="75"/>
      <c r="I12" s="76"/>
      <c r="J12" s="77">
        <v>0</v>
      </c>
      <c r="K12" s="78">
        <f t="shared" si="0"/>
        <v>3.0838885018494864</v>
      </c>
      <c r="L12" s="112"/>
    </row>
    <row r="13" spans="1:12" ht="35.1" customHeight="1" x14ac:dyDescent="0.2">
      <c r="A13" s="126" t="s">
        <v>28</v>
      </c>
      <c r="B13" s="58" t="s">
        <v>21</v>
      </c>
      <c r="C13" s="64">
        <v>25000</v>
      </c>
      <c r="D13" s="65">
        <v>30</v>
      </c>
      <c r="E13" s="66">
        <v>15504.46</v>
      </c>
      <c r="F13" s="67">
        <v>3.8579462136426512</v>
      </c>
      <c r="G13" s="67">
        <v>33.857946213642649</v>
      </c>
      <c r="H13" s="82"/>
      <c r="I13" s="68"/>
      <c r="J13" s="69">
        <v>0</v>
      </c>
      <c r="K13" s="78">
        <f t="shared" si="0"/>
        <v>37.98216</v>
      </c>
      <c r="L13" s="112"/>
    </row>
    <row r="14" spans="1:12" ht="43.5" customHeight="1" x14ac:dyDescent="0.2">
      <c r="A14" s="127"/>
      <c r="B14" s="122" t="s">
        <v>22</v>
      </c>
      <c r="C14" s="123">
        <v>25000</v>
      </c>
      <c r="D14" s="124">
        <v>30</v>
      </c>
      <c r="E14" s="116">
        <v>7971.91</v>
      </c>
      <c r="F14" s="117">
        <v>70</v>
      </c>
      <c r="G14" s="117">
        <v>100</v>
      </c>
      <c r="H14" s="118">
        <v>1</v>
      </c>
      <c r="I14" s="119">
        <v>4.2950633624068466E-2</v>
      </c>
      <c r="J14" s="120">
        <v>4.2950633624068466</v>
      </c>
      <c r="K14" s="121">
        <f t="shared" si="0"/>
        <v>68.112359999999995</v>
      </c>
      <c r="L14" s="112"/>
    </row>
    <row r="15" spans="1:12" ht="35.1" customHeight="1" x14ac:dyDescent="0.2">
      <c r="A15" s="127"/>
      <c r="B15" s="59" t="s">
        <v>23</v>
      </c>
      <c r="C15" s="80">
        <v>25000</v>
      </c>
      <c r="D15" s="81">
        <v>30</v>
      </c>
      <c r="E15" s="105">
        <v>22082.82</v>
      </c>
      <c r="F15" s="106">
        <v>0</v>
      </c>
      <c r="G15" s="106">
        <v>30</v>
      </c>
      <c r="H15" s="107"/>
      <c r="I15" s="108"/>
      <c r="J15" s="109"/>
      <c r="K15" s="78">
        <f t="shared" si="0"/>
        <v>11.668719999999993</v>
      </c>
      <c r="L15" s="112"/>
    </row>
    <row r="16" spans="1:12" ht="43.5" customHeight="1" x14ac:dyDescent="0.2">
      <c r="A16" s="127"/>
      <c r="B16" s="59" t="s">
        <v>24</v>
      </c>
      <c r="C16" s="80">
        <v>25000</v>
      </c>
      <c r="D16" s="81">
        <v>30</v>
      </c>
      <c r="E16" s="105">
        <v>13086.72</v>
      </c>
      <c r="F16" s="106">
        <v>25.087714236613309</v>
      </c>
      <c r="G16" s="106">
        <v>55.087714236613309</v>
      </c>
      <c r="H16" s="107"/>
      <c r="I16" s="108"/>
      <c r="J16" s="109"/>
      <c r="K16" s="78">
        <f t="shared" si="0"/>
        <v>47.653120000000001</v>
      </c>
      <c r="L16" s="112"/>
    </row>
    <row r="17" spans="1:12" ht="43.5" customHeight="1" thickBot="1" x14ac:dyDescent="0.25">
      <c r="A17" s="128"/>
      <c r="B17" s="59" t="s">
        <v>25</v>
      </c>
      <c r="C17" s="83">
        <v>25000</v>
      </c>
      <c r="D17" s="84">
        <v>30</v>
      </c>
      <c r="E17" s="54">
        <v>21641.34</v>
      </c>
      <c r="F17" s="25">
        <v>0</v>
      </c>
      <c r="G17" s="25">
        <v>30</v>
      </c>
      <c r="H17" s="39"/>
      <c r="I17" s="40"/>
      <c r="J17" s="41">
        <v>0</v>
      </c>
      <c r="K17" s="111">
        <f t="shared" si="0"/>
        <v>13.434640000000002</v>
      </c>
      <c r="L17" s="112"/>
    </row>
    <row r="18" spans="1:12" ht="45.75" thickBot="1" x14ac:dyDescent="0.25">
      <c r="A18" s="85"/>
      <c r="B18" s="86" t="s">
        <v>13</v>
      </c>
      <c r="C18" s="87">
        <f>+C9+C13</f>
        <v>582063.59</v>
      </c>
      <c r="D18" s="88"/>
      <c r="E18" s="88"/>
      <c r="F18" s="88"/>
      <c r="G18" s="88"/>
      <c r="H18" s="88"/>
      <c r="I18" s="89" t="s">
        <v>19</v>
      </c>
      <c r="J18" s="90">
        <f>+J11+J14</f>
        <v>100</v>
      </c>
      <c r="K18" s="62"/>
    </row>
    <row r="19" spans="1:12" x14ac:dyDescent="0.2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</row>
    <row r="20" spans="1:12" x14ac:dyDescent="0.2">
      <c r="A20" s="62"/>
      <c r="B20" s="62"/>
      <c r="C20" s="62"/>
      <c r="D20" s="62"/>
      <c r="E20" s="62"/>
      <c r="F20" s="62"/>
      <c r="G20" s="62"/>
      <c r="H20" s="62"/>
      <c r="I20" s="62"/>
      <c r="J20" s="62"/>
      <c r="K20" s="62"/>
    </row>
    <row r="21" spans="1:12" ht="14.25" x14ac:dyDescent="0.2">
      <c r="A21" s="91" t="s">
        <v>2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</row>
    <row r="22" spans="1:12" ht="14.25" x14ac:dyDescent="0.2">
      <c r="A22" s="91" t="s">
        <v>37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</row>
    <row r="23" spans="1:12" x14ac:dyDescent="0.2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</row>
    <row r="25" spans="1:12" x14ac:dyDescent="0.2">
      <c r="G25" s="140"/>
    </row>
  </sheetData>
  <mergeCells count="6">
    <mergeCell ref="A13:A17"/>
    <mergeCell ref="E7:J7"/>
    <mergeCell ref="A2:J2"/>
    <mergeCell ref="A3:J3"/>
    <mergeCell ref="A4:J4"/>
    <mergeCell ref="A9:A1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24"/>
  <sheetViews>
    <sheetView showGridLines="0" showZeros="0" topLeftCell="K1" zoomScaleNormal="100" workbookViewId="0">
      <selection activeCell="T10" sqref="T10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24" width="16.7109375" style="10" customWidth="1"/>
    <col min="25" max="16384" width="11.42578125" style="10"/>
  </cols>
  <sheetData>
    <row r="1" spans="1:28" x14ac:dyDescent="0.2">
      <c r="AA1" s="12" t="s">
        <v>7</v>
      </c>
    </row>
    <row r="2" spans="1:28" s="3" customFormat="1" ht="57.75" customHeight="1" x14ac:dyDescent="0.15">
      <c r="A2" s="2"/>
      <c r="D2" s="4"/>
      <c r="E2" s="4"/>
      <c r="F2" s="4"/>
      <c r="G2" s="4"/>
      <c r="H2" s="5"/>
      <c r="M2" s="11"/>
      <c r="AA2" s="13" t="s">
        <v>18</v>
      </c>
      <c r="AB2" s="14">
        <v>70</v>
      </c>
    </row>
    <row r="3" spans="1:28" s="3" customFormat="1" ht="22.5" customHeight="1" x14ac:dyDescent="0.15">
      <c r="A3" s="139" t="s">
        <v>29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61"/>
      <c r="S3" s="61"/>
      <c r="T3" s="61"/>
      <c r="U3" s="61"/>
      <c r="V3" s="61"/>
      <c r="W3" s="61"/>
      <c r="X3" s="61"/>
      <c r="AA3" s="33" t="s">
        <v>9</v>
      </c>
    </row>
    <row r="4" spans="1:28" s="3" customFormat="1" ht="22.5" customHeight="1" x14ac:dyDescent="0.15">
      <c r="A4" s="139" t="s">
        <v>30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61"/>
      <c r="S4" s="61"/>
      <c r="T4" s="61"/>
      <c r="U4" s="61"/>
      <c r="V4" s="61"/>
      <c r="W4" s="61"/>
      <c r="X4" s="61"/>
    </row>
    <row r="5" spans="1:28" s="3" customFormat="1" ht="24.6" customHeight="1" x14ac:dyDescent="0.15">
      <c r="A5" s="139" t="s">
        <v>3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61"/>
      <c r="S5" s="61"/>
      <c r="T5" s="61"/>
      <c r="U5" s="61"/>
      <c r="V5" s="61"/>
      <c r="W5" s="61"/>
      <c r="X5" s="61"/>
    </row>
    <row r="6" spans="1:28" s="3" customFormat="1" ht="24.6" customHeight="1" thickBot="1" x14ac:dyDescent="0.2">
      <c r="A6" s="29"/>
      <c r="B6" s="29"/>
      <c r="C6" s="29"/>
      <c r="D6" s="29"/>
      <c r="E6" s="29"/>
      <c r="F6" s="29"/>
      <c r="G6" s="29"/>
      <c r="H6" s="4"/>
    </row>
    <row r="7" spans="1:28" s="3" customFormat="1" ht="24.75" customHeight="1" thickBot="1" x14ac:dyDescent="0.3">
      <c r="A7" s="2"/>
      <c r="B7" s="6"/>
      <c r="C7" s="7"/>
      <c r="D7" s="7"/>
      <c r="E7" s="136" t="s">
        <v>15</v>
      </c>
      <c r="F7" s="137"/>
      <c r="G7" s="137"/>
      <c r="H7" s="137"/>
      <c r="I7" s="137"/>
      <c r="J7" s="138"/>
      <c r="K7" s="132" t="s">
        <v>31</v>
      </c>
      <c r="L7" s="133"/>
      <c r="M7" s="133"/>
      <c r="N7" s="133"/>
      <c r="O7" s="133"/>
      <c r="P7" s="133"/>
      <c r="Q7" s="134"/>
      <c r="R7" s="132" t="s">
        <v>36</v>
      </c>
      <c r="S7" s="133"/>
      <c r="T7" s="133"/>
      <c r="U7" s="133"/>
      <c r="V7" s="133"/>
      <c r="W7" s="133"/>
      <c r="X7" s="134"/>
    </row>
    <row r="8" spans="1:28" s="8" customFormat="1" ht="30.75" thickBot="1" x14ac:dyDescent="0.25">
      <c r="A8" s="15" t="s">
        <v>4</v>
      </c>
      <c r="B8" s="16" t="s">
        <v>5</v>
      </c>
      <c r="C8" s="17" t="s">
        <v>33</v>
      </c>
      <c r="D8" s="18" t="s">
        <v>0</v>
      </c>
      <c r="E8" s="16" t="s">
        <v>32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32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  <c r="R8" s="16" t="s">
        <v>16</v>
      </c>
      <c r="S8" s="16" t="s">
        <v>32</v>
      </c>
      <c r="T8" s="17" t="s">
        <v>1</v>
      </c>
      <c r="U8" s="17" t="s">
        <v>17</v>
      </c>
      <c r="V8" s="17" t="s">
        <v>10</v>
      </c>
      <c r="W8" s="17" t="s">
        <v>11</v>
      </c>
      <c r="X8" s="18" t="s">
        <v>12</v>
      </c>
    </row>
    <row r="9" spans="1:28" s="3" customFormat="1" ht="35.1" customHeight="1" thickBot="1" x14ac:dyDescent="0.2">
      <c r="A9" s="126" t="s">
        <v>27</v>
      </c>
      <c r="B9" s="58" t="s">
        <v>21</v>
      </c>
      <c r="C9" s="19">
        <v>557063.59</v>
      </c>
      <c r="D9" s="20">
        <v>14</v>
      </c>
      <c r="E9" s="21">
        <v>518668.79999999999</v>
      </c>
      <c r="F9" s="22">
        <f>$AB$2*(2-E9/MIN(E$9:E$12))</f>
        <v>64.971020072373889</v>
      </c>
      <c r="G9" s="22">
        <f>D9+F9</f>
        <v>78.971020072373889</v>
      </c>
      <c r="H9" s="44"/>
      <c r="I9" s="35">
        <f>+$C9/$C$18*H9</f>
        <v>0</v>
      </c>
      <c r="J9" s="36">
        <f t="shared" ref="J9:J17" si="0">+G9*I9</f>
        <v>0</v>
      </c>
      <c r="K9" s="99">
        <v>5.0000000000000001E-3</v>
      </c>
      <c r="L9" s="51">
        <f>+$E9*(1-K9)</f>
        <v>516075.45600000001</v>
      </c>
      <c r="M9" s="22">
        <f>$AB$2*(2-L9/MIN(L$9:L$12))</f>
        <v>65.346164972012019</v>
      </c>
      <c r="N9" s="22">
        <f>$D9+M9</f>
        <v>79.346164972012019</v>
      </c>
      <c r="O9" s="34">
        <v>1</v>
      </c>
      <c r="P9" s="35">
        <f t="shared" ref="P9:P13" si="1">+$C9/$C$18*O9</f>
        <v>0.95704936637593152</v>
      </c>
      <c r="Q9" s="36">
        <f>+N9*P9</f>
        <v>75.938196910824232</v>
      </c>
      <c r="R9" s="50"/>
      <c r="S9" s="51">
        <f>+$E9*(1-R9)</f>
        <v>518668.79999999999</v>
      </c>
      <c r="T9" s="22">
        <f>$AB$2*(2-S9/MIN(S$9:S$12))</f>
        <v>64.971020072373889</v>
      </c>
      <c r="U9" s="22">
        <f>$D9+T9</f>
        <v>78.971020072373889</v>
      </c>
      <c r="V9" s="34"/>
      <c r="W9" s="35"/>
      <c r="X9" s="36"/>
    </row>
    <row r="10" spans="1:28" s="3" customFormat="1" ht="42.95" customHeight="1" thickBot="1" x14ac:dyDescent="0.2">
      <c r="A10" s="127"/>
      <c r="B10" s="60" t="s">
        <v>26</v>
      </c>
      <c r="C10" s="19">
        <v>557063.59</v>
      </c>
      <c r="D10" s="26">
        <v>13</v>
      </c>
      <c r="E10" s="27">
        <v>517060.26</v>
      </c>
      <c r="F10" s="28">
        <f>$AB$2*(2-E10/MIN(E$9:E$12))</f>
        <v>65.203706355745439</v>
      </c>
      <c r="G10" s="28">
        <f>D10+F10</f>
        <v>78.203706355745439</v>
      </c>
      <c r="H10" s="45"/>
      <c r="I10" s="37"/>
      <c r="J10" s="38">
        <f t="shared" si="0"/>
        <v>0</v>
      </c>
      <c r="K10" s="52"/>
      <c r="L10" s="53">
        <f>+$E10*(1-K10)</f>
        <v>517060.26</v>
      </c>
      <c r="M10" s="28">
        <f>$AB$2*(2-L10/MIN(L$9:L$12))</f>
        <v>65.203706355745439</v>
      </c>
      <c r="N10" s="28">
        <f>$D10+M10</f>
        <v>78.203706355745439</v>
      </c>
      <c r="O10" s="46"/>
      <c r="P10" s="37">
        <f t="shared" si="1"/>
        <v>0</v>
      </c>
      <c r="Q10" s="38">
        <f t="shared" ref="Q10:Q13" si="2">+N10*P10</f>
        <v>0</v>
      </c>
      <c r="R10" s="52"/>
      <c r="S10" s="53">
        <f t="shared" ref="S10:S11" si="3">+$E10*(1-R10)</f>
        <v>517060.26</v>
      </c>
      <c r="T10" s="28">
        <f>$AB$2*(2-S10/MIN(S$9:S$12))</f>
        <v>65.203706355745439</v>
      </c>
      <c r="U10" s="28">
        <f t="shared" ref="U10:U14" si="4">$D10+T10</f>
        <v>78.203706355745439</v>
      </c>
      <c r="V10" s="46"/>
      <c r="W10" s="37">
        <f t="shared" ref="W10:W14" si="5">+$C10/$C$18*V10</f>
        <v>0</v>
      </c>
      <c r="X10" s="38">
        <f t="shared" ref="X10:X14" si="6">+U10*W10</f>
        <v>0</v>
      </c>
    </row>
    <row r="11" spans="1:28" s="3" customFormat="1" ht="43.5" customHeight="1" thickBot="1" x14ac:dyDescent="0.2">
      <c r="A11" s="127"/>
      <c r="B11" s="60" t="s">
        <v>22</v>
      </c>
      <c r="C11" s="19">
        <v>557063.59</v>
      </c>
      <c r="D11" s="30">
        <v>30</v>
      </c>
      <c r="E11" s="31">
        <v>483903.9</v>
      </c>
      <c r="F11" s="32">
        <f>$AB$2*(2-E11/MIN(E$9:E$12))</f>
        <v>70</v>
      </c>
      <c r="G11" s="32">
        <f>D11+F11</f>
        <v>100</v>
      </c>
      <c r="H11" s="45">
        <v>1</v>
      </c>
      <c r="I11" s="37">
        <f>+$C11/$C$18*H11</f>
        <v>0.95704936637593152</v>
      </c>
      <c r="J11" s="38">
        <f t="shared" si="0"/>
        <v>95.70493663759315</v>
      </c>
      <c r="K11" s="52"/>
      <c r="L11" s="53">
        <f>+$E11*(1-K11)</f>
        <v>483903.9</v>
      </c>
      <c r="M11" s="28">
        <f>$AB$2*(2-L11/MIN(L$9:L$12))</f>
        <v>70</v>
      </c>
      <c r="N11" s="28">
        <f>$D11+M11</f>
        <v>100</v>
      </c>
      <c r="O11" s="98"/>
      <c r="P11" s="37">
        <f t="shared" si="1"/>
        <v>0</v>
      </c>
      <c r="Q11" s="38">
        <f t="shared" si="2"/>
        <v>0</v>
      </c>
      <c r="R11" s="52"/>
      <c r="S11" s="53">
        <f t="shared" si="3"/>
        <v>483903.9</v>
      </c>
      <c r="T11" s="28">
        <f>$AB$2*(2-S11/MIN(S$9:S$12))</f>
        <v>70</v>
      </c>
      <c r="U11" s="28">
        <f t="shared" si="4"/>
        <v>100</v>
      </c>
      <c r="V11" s="46"/>
      <c r="W11" s="37">
        <f t="shared" si="5"/>
        <v>0</v>
      </c>
      <c r="X11" s="38">
        <f t="shared" si="6"/>
        <v>0</v>
      </c>
    </row>
    <row r="12" spans="1:28" s="3" customFormat="1" ht="35.1" customHeight="1" thickBot="1" x14ac:dyDescent="0.2">
      <c r="A12" s="128"/>
      <c r="B12" s="59" t="s">
        <v>23</v>
      </c>
      <c r="C12" s="19">
        <v>557063.59</v>
      </c>
      <c r="D12" s="23">
        <v>14</v>
      </c>
      <c r="E12" s="31">
        <v>539884.37</v>
      </c>
      <c r="F12" s="32">
        <f>$AB$2*(2-E12/MIN(E$9:E$12))</f>
        <v>61.90204315360964</v>
      </c>
      <c r="G12" s="32">
        <f>D12+F12</f>
        <v>75.90204315360964</v>
      </c>
      <c r="H12" s="45"/>
      <c r="I12" s="37">
        <f>+$C12/$C$18*H12</f>
        <v>0</v>
      </c>
      <c r="J12" s="38">
        <f t="shared" ref="J12" si="7">+G12*I12</f>
        <v>0</v>
      </c>
      <c r="K12" s="49"/>
      <c r="L12" s="54">
        <v>539884.37</v>
      </c>
      <c r="M12" s="25">
        <f>$AB$2*(2-L12/MIN(L$9:L$12))</f>
        <v>61.90204315360964</v>
      </c>
      <c r="N12" s="25">
        <f>$D12+M12</f>
        <v>75.90204315360964</v>
      </c>
      <c r="O12" s="47"/>
      <c r="P12" s="40">
        <f t="shared" si="1"/>
        <v>0</v>
      </c>
      <c r="Q12" s="41">
        <f t="shared" si="2"/>
        <v>0</v>
      </c>
      <c r="R12" s="100">
        <v>2.5000000000000001E-3</v>
      </c>
      <c r="S12" s="54">
        <f>+$E12*(1-R12)</f>
        <v>538534.65907499997</v>
      </c>
      <c r="T12" s="25">
        <f>$AB$2*(2-S12/MIN(S$9:S$12))</f>
        <v>62.09728804572562</v>
      </c>
      <c r="U12" s="25">
        <f>$D12+T12</f>
        <v>76.09728804572562</v>
      </c>
      <c r="V12" s="34">
        <v>1</v>
      </c>
      <c r="W12" s="40">
        <f t="shared" si="5"/>
        <v>0.95704936637593152</v>
      </c>
      <c r="X12" s="41">
        <f t="shared" si="6"/>
        <v>72.828861307088459</v>
      </c>
    </row>
    <row r="13" spans="1:28" s="3" customFormat="1" ht="35.1" customHeight="1" thickBot="1" x14ac:dyDescent="0.2">
      <c r="A13" s="126" t="s">
        <v>28</v>
      </c>
      <c r="B13" s="58" t="s">
        <v>21</v>
      </c>
      <c r="C13" s="19">
        <v>25000</v>
      </c>
      <c r="D13" s="20">
        <v>30</v>
      </c>
      <c r="E13" s="21">
        <v>15504.46</v>
      </c>
      <c r="F13" s="22">
        <f>$AB$2*(2-E13/MIN(E$13:E$17))</f>
        <v>3.8579462136426512</v>
      </c>
      <c r="G13" s="22">
        <f t="shared" ref="G13:G14" si="8">D13+F13</f>
        <v>33.857946213642649</v>
      </c>
      <c r="H13" s="44"/>
      <c r="I13" s="35">
        <f>+$C13/$C$18*H13</f>
        <v>0</v>
      </c>
      <c r="J13" s="36">
        <f t="shared" si="0"/>
        <v>0</v>
      </c>
      <c r="K13" s="50">
        <v>0.01</v>
      </c>
      <c r="L13" s="51">
        <f t="shared" ref="L13:L17" si="9">+$E13*(1-K13)</f>
        <v>15349.4154</v>
      </c>
      <c r="M13" s="22">
        <f>$AB$2*(2-L13/MIN(L$13:L$17))</f>
        <v>5.2193667515062225</v>
      </c>
      <c r="N13" s="22">
        <f t="shared" ref="N13:N14" si="10">$D13+M13</f>
        <v>35.219366751506222</v>
      </c>
      <c r="O13" s="34">
        <v>1</v>
      </c>
      <c r="P13" s="35">
        <f t="shared" si="1"/>
        <v>4.2950633624068466E-2</v>
      </c>
      <c r="Q13" s="36">
        <f t="shared" si="2"/>
        <v>1.5126941178156421</v>
      </c>
      <c r="R13" s="50"/>
      <c r="S13" s="51">
        <f t="shared" ref="S13:S16" si="11">+$E13*(1-R13)</f>
        <v>15504.46</v>
      </c>
      <c r="T13" s="22">
        <f>$AB$2*(2-S13/MIN(S$13:S$17))</f>
        <v>3.8579462136426512</v>
      </c>
      <c r="U13" s="22">
        <f t="shared" si="4"/>
        <v>33.857946213642649</v>
      </c>
      <c r="V13" s="48"/>
      <c r="W13" s="35">
        <f t="shared" si="5"/>
        <v>0</v>
      </c>
      <c r="X13" s="36">
        <f t="shared" si="6"/>
        <v>0</v>
      </c>
    </row>
    <row r="14" spans="1:28" s="3" customFormat="1" ht="43.5" customHeight="1" thickBot="1" x14ac:dyDescent="0.2">
      <c r="A14" s="127"/>
      <c r="B14" s="59" t="s">
        <v>22</v>
      </c>
      <c r="C14" s="19">
        <v>25000</v>
      </c>
      <c r="D14" s="20">
        <v>30</v>
      </c>
      <c r="E14" s="27">
        <v>7971.91</v>
      </c>
      <c r="F14" s="28">
        <f>$AB$2*(2-E14/MIN(E$13:E$17))</f>
        <v>70</v>
      </c>
      <c r="G14" s="28">
        <f t="shared" si="8"/>
        <v>100</v>
      </c>
      <c r="H14" s="45">
        <v>1</v>
      </c>
      <c r="I14" s="37">
        <f>+$C14/$C$18*H14</f>
        <v>4.2950633624068466E-2</v>
      </c>
      <c r="J14" s="38">
        <f t="shared" si="0"/>
        <v>4.2950633624068466</v>
      </c>
      <c r="K14" s="52"/>
      <c r="L14" s="53">
        <f t="shared" si="9"/>
        <v>7971.91</v>
      </c>
      <c r="M14" s="28">
        <f>$AB$2*(2-L14/MIN(L$13:L$17))</f>
        <v>70</v>
      </c>
      <c r="N14" s="28">
        <f t="shared" si="10"/>
        <v>100</v>
      </c>
      <c r="O14" s="98"/>
      <c r="P14" s="37"/>
      <c r="Q14" s="38"/>
      <c r="R14" s="52"/>
      <c r="S14" s="53">
        <f t="shared" si="11"/>
        <v>7971.91</v>
      </c>
      <c r="T14" s="28">
        <f>$AB$2*(2-S14/MIN(S$13:S$17))</f>
        <v>70</v>
      </c>
      <c r="U14" s="28">
        <f t="shared" si="4"/>
        <v>100</v>
      </c>
      <c r="V14" s="46"/>
      <c r="W14" s="37">
        <f t="shared" si="5"/>
        <v>0</v>
      </c>
      <c r="X14" s="38">
        <f t="shared" si="6"/>
        <v>0</v>
      </c>
    </row>
    <row r="15" spans="1:28" s="3" customFormat="1" ht="35.1" customHeight="1" thickBot="1" x14ac:dyDescent="0.2">
      <c r="A15" s="127"/>
      <c r="B15" s="59" t="s">
        <v>23</v>
      </c>
      <c r="C15" s="19">
        <v>25000</v>
      </c>
      <c r="D15" s="20">
        <v>30</v>
      </c>
      <c r="E15" s="31">
        <v>22082.82</v>
      </c>
      <c r="F15" s="32">
        <v>0</v>
      </c>
      <c r="G15" s="32">
        <f t="shared" ref="G15:G17" si="12">D15+F15</f>
        <v>30</v>
      </c>
      <c r="H15" s="92"/>
      <c r="I15" s="93"/>
      <c r="J15" s="94"/>
      <c r="K15" s="95"/>
      <c r="L15" s="96">
        <f t="shared" si="9"/>
        <v>22082.82</v>
      </c>
      <c r="M15" s="32">
        <v>0</v>
      </c>
      <c r="N15" s="32">
        <f t="shared" ref="N15:N16" si="13">$D15+M15</f>
        <v>30</v>
      </c>
      <c r="O15" s="97"/>
      <c r="P15" s="93"/>
      <c r="Q15" s="94"/>
      <c r="R15" s="101">
        <v>2.5000000000000001E-3</v>
      </c>
      <c r="S15" s="96">
        <f t="shared" si="11"/>
        <v>22027.612950000002</v>
      </c>
      <c r="T15" s="32">
        <v>0</v>
      </c>
      <c r="U15" s="32">
        <f t="shared" ref="U15:U16" si="14">$D15+T15</f>
        <v>30</v>
      </c>
      <c r="V15" s="34">
        <v>1</v>
      </c>
      <c r="W15" s="93">
        <f t="shared" ref="W15" si="15">+$C15/$C$18*V15</f>
        <v>4.2950633624068466E-2</v>
      </c>
      <c r="X15" s="94">
        <f t="shared" ref="X15" si="16">+U15*W15</f>
        <v>1.2885190087220539</v>
      </c>
      <c r="Z15" s="102"/>
    </row>
    <row r="16" spans="1:28" s="3" customFormat="1" ht="35.1" customHeight="1" thickBot="1" x14ac:dyDescent="0.2">
      <c r="A16" s="127"/>
      <c r="B16" s="59" t="s">
        <v>24</v>
      </c>
      <c r="C16" s="19">
        <v>25000</v>
      </c>
      <c r="D16" s="20">
        <v>30</v>
      </c>
      <c r="E16" s="31">
        <v>13086.72</v>
      </c>
      <c r="F16" s="32">
        <f>$AB$2*(2-E16/MIN(E$13:E$17))</f>
        <v>25.087714236613309</v>
      </c>
      <c r="G16" s="32">
        <f t="shared" si="12"/>
        <v>55.087714236613309</v>
      </c>
      <c r="H16" s="92"/>
      <c r="I16" s="93"/>
      <c r="J16" s="94"/>
      <c r="K16" s="95"/>
      <c r="L16" s="96">
        <f t="shared" si="9"/>
        <v>13086.72</v>
      </c>
      <c r="M16" s="32">
        <f>$AB$2*(2-L16/MIN(L$13:L$17))</f>
        <v>25.087714236613309</v>
      </c>
      <c r="N16" s="32">
        <f t="shared" si="13"/>
        <v>55.087714236613309</v>
      </c>
      <c r="O16" s="97"/>
      <c r="P16" s="93"/>
      <c r="Q16" s="94"/>
      <c r="R16" s="95"/>
      <c r="S16" s="96">
        <f t="shared" si="11"/>
        <v>13086.72</v>
      </c>
      <c r="T16" s="32">
        <f>$AB$2*(2-S16/MIN(S$13:S$17))</f>
        <v>25.087714236613309</v>
      </c>
      <c r="U16" s="32">
        <f t="shared" si="14"/>
        <v>55.087714236613309</v>
      </c>
      <c r="V16" s="97"/>
      <c r="W16" s="93"/>
      <c r="X16" s="94"/>
    </row>
    <row r="17" spans="1:26" s="3" customFormat="1" ht="43.5" customHeight="1" thickBot="1" x14ac:dyDescent="0.2">
      <c r="A17" s="128"/>
      <c r="B17" s="59" t="s">
        <v>25</v>
      </c>
      <c r="C17" s="19">
        <v>25000</v>
      </c>
      <c r="D17" s="20">
        <v>30</v>
      </c>
      <c r="E17" s="24">
        <v>21641.34</v>
      </c>
      <c r="F17" s="25">
        <v>0</v>
      </c>
      <c r="G17" s="25">
        <f t="shared" si="12"/>
        <v>30</v>
      </c>
      <c r="H17" s="55"/>
      <c r="I17" s="40">
        <f>+$C17/$C$18*H17</f>
        <v>0</v>
      </c>
      <c r="J17" s="41">
        <f t="shared" si="0"/>
        <v>0</v>
      </c>
      <c r="K17" s="49"/>
      <c r="L17" s="54">
        <f t="shared" si="9"/>
        <v>21641.34</v>
      </c>
      <c r="M17" s="25">
        <v>0</v>
      </c>
      <c r="N17" s="25">
        <f>$D17+M17</f>
        <v>30</v>
      </c>
      <c r="O17" s="39"/>
      <c r="P17" s="40"/>
      <c r="Q17" s="41"/>
      <c r="R17" s="49"/>
      <c r="S17" s="54">
        <f t="shared" ref="S17" si="17">+$E17*(1-R17)</f>
        <v>21641.34</v>
      </c>
      <c r="T17" s="25">
        <v>0</v>
      </c>
      <c r="U17" s="25">
        <f t="shared" ref="U17" si="18">$D17+T17</f>
        <v>30</v>
      </c>
      <c r="V17" s="39"/>
      <c r="W17" s="40"/>
      <c r="X17" s="41"/>
      <c r="Z17" s="102"/>
    </row>
    <row r="18" spans="1:26" ht="42.75" customHeight="1" thickBot="1" x14ac:dyDescent="0.25">
      <c r="B18" s="42" t="s">
        <v>13</v>
      </c>
      <c r="C18" s="43">
        <f>+C9+C13</f>
        <v>582063.59</v>
      </c>
      <c r="G18" s="103"/>
      <c r="I18" s="56" t="s">
        <v>14</v>
      </c>
      <c r="J18" s="57">
        <f>SUM(J9:J17)</f>
        <v>100</v>
      </c>
      <c r="P18" s="56" t="s">
        <v>14</v>
      </c>
      <c r="Q18" s="57">
        <f>SUM(Q9:Q17)</f>
        <v>77.450891028639873</v>
      </c>
      <c r="W18" s="56" t="s">
        <v>14</v>
      </c>
      <c r="X18" s="57">
        <f>SUM(X9:X17)</f>
        <v>74.117380315810507</v>
      </c>
    </row>
    <row r="19" spans="1:26" x14ac:dyDescent="0.2">
      <c r="G19" s="104"/>
    </row>
    <row r="20" spans="1:26" x14ac:dyDescent="0.2">
      <c r="G20" s="103"/>
    </row>
    <row r="21" spans="1:26" ht="14.25" x14ac:dyDescent="0.2">
      <c r="A21" s="1" t="s">
        <v>2</v>
      </c>
    </row>
    <row r="22" spans="1:26" ht="14.25" x14ac:dyDescent="0.2">
      <c r="A22" s="1" t="s">
        <v>6</v>
      </c>
    </row>
    <row r="24" spans="1:26" ht="56.25" customHeight="1" x14ac:dyDescent="0.2">
      <c r="A24" s="135"/>
      <c r="B24" s="135"/>
      <c r="C24" s="135"/>
      <c r="D24" s="135"/>
      <c r="E24" s="135"/>
      <c r="F24" s="135"/>
      <c r="G24" s="135"/>
    </row>
  </sheetData>
  <mergeCells count="9">
    <mergeCell ref="R7:X7"/>
    <mergeCell ref="A24:G24"/>
    <mergeCell ref="E7:J7"/>
    <mergeCell ref="K7:Q7"/>
    <mergeCell ref="A3:Q3"/>
    <mergeCell ref="A4:Q4"/>
    <mergeCell ref="A5:Q5"/>
    <mergeCell ref="A9:A12"/>
    <mergeCell ref="A13:A17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Isabel Espejo Badiola</cp:lastModifiedBy>
  <cp:lastPrinted>2021-11-19T11:28:43Z</cp:lastPrinted>
  <dcterms:created xsi:type="dcterms:W3CDTF">2007-03-30T09:59:06Z</dcterms:created>
  <dcterms:modified xsi:type="dcterms:W3CDTF">2024-01-10T08:01:33Z</dcterms:modified>
</cp:coreProperties>
</file>