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3.- INFORME TECNICO\S-06305-2023 UPLINK TORRESPAÑA\"/>
    </mc:Choice>
  </mc:AlternateContent>
  <xr:revisionPtr revIDLastSave="0" documentId="13_ncr:1_{FA96A534-B6E3-4EDC-8AE7-CFE7FE2C9EFF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 " sheetId="7" r:id="rId1"/>
    <sheet name="valoración" sheetId="5" r:id="rId2"/>
  </sheets>
  <definedNames>
    <definedName name="_xlnm.Print_Area" localSheetId="0">'ALTERNATIVA ADJUDICADA '!$A$1:$D$19</definedName>
    <definedName name="_xlnm.Print_Area" localSheetId="1">valoración!$A$2:$Q$26</definedName>
  </definedNames>
  <calcPr calcId="191029"/>
</workbook>
</file>

<file path=xl/calcChain.xml><?xml version="1.0" encoding="utf-8"?>
<calcChain xmlns="http://schemas.openxmlformats.org/spreadsheetml/2006/main">
  <c r="L16" i="7" l="1"/>
  <c r="L17" i="7"/>
  <c r="AB12" i="5" l="1"/>
  <c r="AB13" i="5"/>
  <c r="AB14" i="5"/>
  <c r="AB18" i="5"/>
  <c r="AB19" i="5"/>
  <c r="AB20" i="5"/>
  <c r="AB21" i="5"/>
  <c r="U14" i="5"/>
  <c r="U18" i="5"/>
  <c r="U19" i="5"/>
  <c r="U20" i="5"/>
  <c r="U21" i="5"/>
  <c r="U13" i="5"/>
  <c r="AA21" i="5"/>
  <c r="AA20" i="5"/>
  <c r="AA17" i="5"/>
  <c r="AB17" i="5" s="1"/>
  <c r="AA14" i="5"/>
  <c r="AA11" i="5"/>
  <c r="AB11" i="5" s="1"/>
  <c r="T21" i="5"/>
  <c r="T20" i="5"/>
  <c r="T17" i="5"/>
  <c r="U17" i="5" s="1"/>
  <c r="T14" i="5"/>
  <c r="T11" i="5"/>
  <c r="U11" i="5" s="1"/>
  <c r="L10" i="7" l="1"/>
  <c r="L11" i="7"/>
  <c r="L13" i="7"/>
  <c r="L14" i="7"/>
  <c r="L15" i="7"/>
  <c r="L18" i="7"/>
  <c r="L19" i="7"/>
  <c r="L20" i="7"/>
  <c r="L21" i="7"/>
  <c r="L9" i="7"/>
  <c r="C22" i="7"/>
  <c r="A4" i="7"/>
  <c r="A3" i="7"/>
  <c r="A2" i="7"/>
  <c r="AD21" i="5"/>
  <c r="Z21" i="5"/>
  <c r="AD20" i="5"/>
  <c r="AE20" i="5"/>
  <c r="Z20" i="5"/>
  <c r="AD19" i="5"/>
  <c r="Z19" i="5"/>
  <c r="AA19" i="5" s="1"/>
  <c r="AD18" i="5"/>
  <c r="Z18" i="5"/>
  <c r="AA18" i="5" s="1"/>
  <c r="AD17" i="5"/>
  <c r="Z17" i="5"/>
  <c r="AA15" i="5" s="1"/>
  <c r="AB15" i="5" s="1"/>
  <c r="AD16" i="5"/>
  <c r="Z16" i="5"/>
  <c r="AD15" i="5"/>
  <c r="Z15" i="5"/>
  <c r="AD14" i="5"/>
  <c r="Z14" i="5"/>
  <c r="AE14" i="5" s="1"/>
  <c r="AD13" i="5"/>
  <c r="Z13" i="5"/>
  <c r="AA13" i="5" s="1"/>
  <c r="AE13" i="5" s="1"/>
  <c r="Z12" i="5"/>
  <c r="AD11" i="5"/>
  <c r="Z11" i="5"/>
  <c r="AD10" i="5"/>
  <c r="Z10" i="5"/>
  <c r="AA10" i="5" s="1"/>
  <c r="AD9" i="5"/>
  <c r="Z9" i="5"/>
  <c r="S21" i="5"/>
  <c r="S20" i="5"/>
  <c r="S19" i="5"/>
  <c r="S18" i="5"/>
  <c r="T18" i="5" s="1"/>
  <c r="S17" i="5"/>
  <c r="S16" i="5"/>
  <c r="S15" i="5"/>
  <c r="T15" i="5" s="1"/>
  <c r="U15" i="5" s="1"/>
  <c r="S14" i="5"/>
  <c r="S13" i="5"/>
  <c r="T13" i="5" s="1"/>
  <c r="S12" i="5"/>
  <c r="S11" i="5"/>
  <c r="S10" i="5"/>
  <c r="T10" i="5" s="1"/>
  <c r="U10" i="5" s="1"/>
  <c r="S9" i="5"/>
  <c r="AB10" i="5" l="1"/>
  <c r="AE10" i="5" s="1"/>
  <c r="AE15" i="5"/>
  <c r="AE21" i="5"/>
  <c r="AE19" i="5"/>
  <c r="AE18" i="5"/>
  <c r="AE11" i="5"/>
  <c r="AE17" i="5"/>
  <c r="AA16" i="5"/>
  <c r="AA9" i="5"/>
  <c r="T19" i="5"/>
  <c r="T9" i="5"/>
  <c r="U9" i="5" s="1"/>
  <c r="T16" i="5"/>
  <c r="U16" i="5" s="1"/>
  <c r="F21" i="5"/>
  <c r="L10" i="5"/>
  <c r="M10" i="5" s="1"/>
  <c r="N10" i="5" s="1"/>
  <c r="L11" i="5"/>
  <c r="L13" i="5"/>
  <c r="L14" i="5"/>
  <c r="L15" i="5"/>
  <c r="M15" i="5" s="1"/>
  <c r="N15" i="5" s="1"/>
  <c r="L16" i="5"/>
  <c r="M16" i="5" s="1"/>
  <c r="N16" i="5" s="1"/>
  <c r="L17" i="5"/>
  <c r="M17" i="5" s="1"/>
  <c r="N17" i="5" s="1"/>
  <c r="L18" i="5"/>
  <c r="M18" i="5" s="1"/>
  <c r="N18" i="5" s="1"/>
  <c r="L19" i="5"/>
  <c r="M19" i="5" s="1"/>
  <c r="N19" i="5" s="1"/>
  <c r="L20" i="5"/>
  <c r="L21" i="5"/>
  <c r="M21" i="5" s="1"/>
  <c r="N21" i="5" s="1"/>
  <c r="L9" i="5"/>
  <c r="M9" i="5" s="1"/>
  <c r="N9" i="5" s="1"/>
  <c r="AB9" i="5" l="1"/>
  <c r="AE9" i="5" s="1"/>
  <c r="AB16" i="5"/>
  <c r="AE16" i="5" s="1"/>
  <c r="M14" i="5"/>
  <c r="N14" i="5" s="1"/>
  <c r="M20" i="5"/>
  <c r="N20" i="5" s="1"/>
  <c r="M11" i="5"/>
  <c r="N11" i="5" s="1"/>
  <c r="M13" i="5"/>
  <c r="N13" i="5" s="1"/>
  <c r="F11" i="5"/>
  <c r="F14" i="5"/>
  <c r="F20" i="5"/>
  <c r="F17" i="5"/>
  <c r="F19" i="5"/>
  <c r="F18" i="5"/>
  <c r="F16" i="5"/>
  <c r="F15" i="5"/>
  <c r="AE22" i="5" l="1"/>
  <c r="G19" i="5"/>
  <c r="G20" i="5"/>
  <c r="G18" i="5"/>
  <c r="G21" i="5"/>
  <c r="G17" i="5"/>
  <c r="G11" i="5"/>
  <c r="F13" i="5"/>
  <c r="C22" i="5"/>
  <c r="F10" i="5"/>
  <c r="G10" i="5" s="1"/>
  <c r="G15" i="5"/>
  <c r="G16" i="5"/>
  <c r="W21" i="5" l="1"/>
  <c r="X21" i="5" s="1"/>
  <c r="W17" i="5"/>
  <c r="W10" i="5"/>
  <c r="X10" i="5" s="1"/>
  <c r="W16" i="5"/>
  <c r="X16" i="5" s="1"/>
  <c r="W13" i="5"/>
  <c r="X13" i="5" s="1"/>
  <c r="W20" i="5"/>
  <c r="W19" i="5"/>
  <c r="X19" i="5" s="1"/>
  <c r="W15" i="5"/>
  <c r="W18" i="5"/>
  <c r="W14" i="5"/>
  <c r="P16" i="5"/>
  <c r="P11" i="5"/>
  <c r="P17" i="5"/>
  <c r="Q17" i="5" s="1"/>
  <c r="P9" i="5"/>
  <c r="Q9" i="5" s="1"/>
  <c r="Q22" i="5" s="1"/>
  <c r="P18" i="5"/>
  <c r="Q18" i="5" s="1"/>
  <c r="P13" i="5"/>
  <c r="P15" i="5"/>
  <c r="Q15" i="5" s="1"/>
  <c r="P10" i="5"/>
  <c r="P19" i="5"/>
  <c r="P20" i="5"/>
  <c r="P14" i="5"/>
  <c r="Q14" i="5" s="1"/>
  <c r="P21" i="5"/>
  <c r="Q21" i="5" s="1"/>
  <c r="I9" i="5"/>
  <c r="I20" i="5"/>
  <c r="I21" i="5"/>
  <c r="J21" i="5" s="1"/>
  <c r="I15" i="5"/>
  <c r="J15" i="5" s="1"/>
  <c r="I16" i="5"/>
  <c r="I17" i="5"/>
  <c r="I18" i="5"/>
  <c r="J18" i="5" s="1"/>
  <c r="I19" i="5"/>
  <c r="X22" i="5" l="1"/>
  <c r="G14" i="5"/>
  <c r="G13" i="5"/>
  <c r="F9" i="5"/>
  <c r="G9" i="5" s="1"/>
  <c r="J9" i="5" l="1"/>
  <c r="J22" i="5" s="1"/>
  <c r="I14" i="5"/>
  <c r="J14" i="5" s="1"/>
  <c r="I10" i="5"/>
  <c r="I13" i="5"/>
</calcChain>
</file>

<file path=xl/sharedStrings.xml><?xml version="1.0" encoding="utf-8"?>
<sst xmlns="http://schemas.openxmlformats.org/spreadsheetml/2006/main" count="102" uniqueCount="38">
  <si>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</si>
  <si>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</si>
  <si>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</si>
  <si>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</si>
  <si>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</si>
  <si>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</si>
  <si>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</si>
  <si>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</si>
  <si>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</si>
  <si>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</si>
  <si>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</si>
  <si>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</si>
  <si>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</si>
  <si>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</si>
  <si>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</si>
  <si>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</si>
  <si>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</si>
  <si>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</si>
  <si>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</si>
  <si>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Valor estimado            </t>
  </si>
  <si>
    <r>
      <t>Importe Oferta</t>
    </r>
    <r>
      <rPr>
        <b/>
        <i/>
        <sz val="12"/>
        <rFont val="Tahoma"/>
        <family val="2"/>
      </rPr>
      <t xml:space="preserve"> </t>
    </r>
  </si>
  <si>
    <t>PROPUESTA DE ADJUDICACIÓN DEL EXPEDIENTE S-06305-2023</t>
  </si>
  <si>
    <t>"UpLink en Torrespaña"</t>
  </si>
  <si>
    <t>LOTE 1:  Antena motorizada y amplificadores de potencia</t>
  </si>
  <si>
    <t>LOTE 2:  Codificador y receptores de satélite</t>
  </si>
  <si>
    <t>LOTE 3: Antenas de recepción en Prado del Rey</t>
  </si>
  <si>
    <t>LOTE 4: Analizador de espectro para monitorizado de uplink</t>
  </si>
  <si>
    <t>LOTE 5: Analizador de espectro portátil</t>
  </si>
  <si>
    <t>ADC INGENIERIA AEROESPACIAL Y NUEVAS TECNOLOGÍAS, S.LU</t>
  </si>
  <si>
    <t>ATLAS SISTEMAS DE COMUNICACIONES I,S.A.</t>
  </si>
  <si>
    <t>MONITORIZACIÓN Y MEDIDAS,SL.</t>
  </si>
  <si>
    <t>NUEVAS TECNOLOGÍAS INALÁMBRICAS, S.L (NTI)</t>
  </si>
  <si>
    <t>Desestimada por no superar el 50% de la puntuación técnica, según se indica en el Anexo II del PCG</t>
  </si>
  <si>
    <t>PROMAX TEST &amp; MEASUREMENT S.L.U.</t>
  </si>
  <si>
    <t>Alternativa 2: oferta conjunta ADC por los lotes 1, 3 y 4 (2% lote 1 y 3 ) (1% lote 4)</t>
  </si>
  <si>
    <t>Alternativa 3: oferta conjunta ATLAS por los lotes 1, 2 y 3  (3% lote  1 y 2 (0% lote 3)</t>
  </si>
  <si>
    <t>Madrid, a 7 de febrero de 2024</t>
  </si>
  <si>
    <t>Alternativa 4: oferta conjunta MOME por los lotes 1, 2, 3 y 4 ( 4% para lotes 1,2 y 4 y 0% lote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</si>
</sst>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82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0" fontId="0" fillId="4" borderId="0" xfId="0" applyFill="1"/>
    <xf numFmtId="4" fontId="6" fillId="4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0" fontId="5" fillId="4" borderId="6" xfId="0" applyFont="1" applyFill="1" applyBorder="1"/>
    <xf numFmtId="166" fontId="6" fillId="4" borderId="7" xfId="0" applyNumberFormat="1" applyFont="1" applyFill="1" applyBorder="1" applyAlignment="1">
      <alignment horizontal="right" vertical="center" indent="1"/>
    </xf>
    <xf numFmtId="0" fontId="5" fillId="0" borderId="12" xfId="0" applyFont="1" applyFill="1" applyBorder="1" applyAlignment="1">
      <alignment horizontal="center" vertical="center"/>
    </xf>
    <xf numFmtId="4" fontId="6" fillId="4" borderId="26" xfId="0" applyNumberFormat="1" applyFont="1" applyFill="1" applyBorder="1" applyAlignment="1">
      <alignment horizontal="center" vertical="center"/>
    </xf>
    <xf numFmtId="165" fontId="5" fillId="0" borderId="18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0" fontId="1" fillId="0" borderId="19" xfId="0" applyFont="1" applyFill="1" applyBorder="1"/>
    <xf numFmtId="166" fontId="6" fillId="4" borderId="18" xfId="0" applyNumberFormat="1" applyFont="1" applyFill="1" applyBorder="1" applyAlignment="1">
      <alignment horizontal="right" vertical="center" indent="1"/>
    </xf>
    <xf numFmtId="165" fontId="5" fillId="0" borderId="19" xfId="2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4" fontId="6" fillId="0" borderId="10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165" fontId="5" fillId="0" borderId="8" xfId="2" applyNumberFormat="1" applyFont="1" applyFill="1" applyBorder="1" applyAlignment="1">
      <alignment horizontal="center" vertical="center"/>
    </xf>
    <xf numFmtId="9" fontId="5" fillId="0" borderId="8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center" vertical="center" wrapText="1"/>
    </xf>
    <xf numFmtId="4" fontId="6" fillId="0" borderId="27" xfId="0" applyNumberFormat="1" applyFont="1" applyFill="1" applyBorder="1" applyAlignment="1">
      <alignment horizontal="right" vertical="center" indent="1"/>
    </xf>
    <xf numFmtId="166" fontId="6" fillId="0" borderId="28" xfId="0" applyNumberFormat="1" applyFont="1" applyFill="1" applyBorder="1" applyAlignment="1">
      <alignment horizontal="right" vertical="center" indent="1"/>
    </xf>
    <xf numFmtId="165" fontId="5" fillId="0" borderId="28" xfId="2" applyNumberFormat="1" applyFont="1" applyFill="1" applyBorder="1" applyAlignment="1">
      <alignment horizontal="center" vertical="center"/>
    </xf>
    <xf numFmtId="10" fontId="5" fillId="0" borderId="27" xfId="0" applyNumberFormat="1" applyFont="1" applyFill="1" applyBorder="1" applyAlignment="1">
      <alignment horizontal="center" vertical="center"/>
    </xf>
    <xf numFmtId="164" fontId="5" fillId="0" borderId="29" xfId="2" applyFont="1" applyFill="1" applyBorder="1" applyAlignment="1">
      <alignment horizontal="center" vertical="center"/>
    </xf>
    <xf numFmtId="9" fontId="5" fillId="0" borderId="28" xfId="3" applyFont="1" applyFill="1" applyBorder="1" applyAlignment="1">
      <alignment horizontal="center" vertical="center"/>
    </xf>
    <xf numFmtId="166" fontId="6" fillId="0" borderId="28" xfId="0" applyNumberFormat="1" applyFont="1" applyFill="1" applyBorder="1" applyAlignment="1">
      <alignment horizontal="center" vertical="center" wrapText="1"/>
    </xf>
    <xf numFmtId="166" fontId="6" fillId="0" borderId="7" xfId="0" applyNumberFormat="1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18" xfId="0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30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31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20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166" fontId="6" fillId="0" borderId="33" xfId="0" applyNumberFormat="1" applyFont="1" applyFill="1" applyBorder="1" applyAlignment="1">
      <alignment horizontal="center" vertical="center"/>
    </xf>
    <xf numFmtId="0" fontId="6" fillId="0" borderId="21" xfId="0" applyNumberFormat="1" applyFont="1" applyFill="1" applyBorder="1" applyAlignment="1">
      <alignment horizontal="left" vertical="center" wrapText="1"/>
    </xf>
    <xf numFmtId="4" fontId="6" fillId="0" borderId="34" xfId="0" applyNumberFormat="1" applyFont="1" applyFill="1" applyBorder="1" applyAlignment="1">
      <alignment horizontal="right" vertical="center" indent="1"/>
    </xf>
    <xf numFmtId="10" fontId="5" fillId="0" borderId="34" xfId="0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0" fontId="5" fillId="0" borderId="35" xfId="0" applyNumberFormat="1" applyFont="1" applyFill="1" applyBorder="1" applyAlignment="1">
      <alignment horizontal="center" vertical="center"/>
    </xf>
    <xf numFmtId="4" fontId="6" fillId="0" borderId="36" xfId="0" applyNumberFormat="1" applyFont="1" applyFill="1" applyBorder="1" applyAlignment="1">
      <alignment horizontal="right" vertical="center" indent="1"/>
    </xf>
    <xf numFmtId="4" fontId="6" fillId="0" borderId="37" xfId="0" applyNumberFormat="1" applyFont="1" applyFill="1" applyBorder="1" applyAlignment="1">
      <alignment horizontal="right" vertical="center" indent="1"/>
    </xf>
    <xf numFmtId="4" fontId="6" fillId="0" borderId="35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center" vertical="center"/>
    </xf>
    <xf numFmtId="4" fontId="6" fillId="0" borderId="18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center" vertical="center"/>
    </xf>
    <xf numFmtId="164" fontId="5" fillId="0" borderId="38" xfId="2" applyFont="1" applyFill="1" applyBorder="1" applyAlignment="1">
      <alignment horizontal="center" vertical="center"/>
    </xf>
    <xf numFmtId="10" fontId="5" fillId="0" borderId="30" xfId="0" applyNumberFormat="1" applyFont="1" applyFill="1" applyBorder="1" applyAlignment="1">
      <alignment horizontal="center" vertical="center"/>
    </xf>
    <xf numFmtId="164" fontId="5" fillId="0" borderId="39" xfId="2" applyFont="1" applyFill="1" applyBorder="1" applyAlignment="1">
      <alignment horizontal="center" vertical="center"/>
    </xf>
    <xf numFmtId="4" fontId="6" fillId="0" borderId="10" xfId="0" applyNumberFormat="1" applyFont="1" applyFill="1" applyBorder="1" applyAlignment="1">
      <alignment horizontal="right" vertical="center" indent="1"/>
    </xf>
    <xf numFmtId="166" fontId="6" fillId="0" borderId="32" xfId="0" applyNumberFormat="1" applyFont="1" applyFill="1" applyBorder="1" applyAlignment="1">
      <alignment horizontal="right" vertical="center" indent="1"/>
    </xf>
    <xf numFmtId="166" fontId="6" fillId="0" borderId="7" xfId="0" applyNumberFormat="1" applyFont="1" applyFill="1" applyBorder="1" applyAlignment="1">
      <alignment horizontal="right" vertical="center" indent="1"/>
    </xf>
    <xf numFmtId="166" fontId="6" fillId="0" borderId="40" xfId="0" applyNumberFormat="1" applyFont="1" applyFill="1" applyBorder="1" applyAlignment="1">
      <alignment horizontal="right" vertical="center" indent="1"/>
    </xf>
    <xf numFmtId="164" fontId="5" fillId="0" borderId="17" xfId="2" applyFont="1" applyFill="1" applyBorder="1" applyAlignment="1">
      <alignment horizontal="center" vertical="center"/>
    </xf>
    <xf numFmtId="0" fontId="16" fillId="0" borderId="24" xfId="0" applyNumberFormat="1" applyFont="1" applyFill="1" applyBorder="1" applyAlignment="1">
      <alignment horizontal="left" vertical="center" wrapText="1"/>
    </xf>
    <xf numFmtId="4" fontId="6" fillId="4" borderId="27" xfId="0" applyNumberFormat="1" applyFont="1" applyFill="1" applyBorder="1" applyAlignment="1">
      <alignment horizontal="right" vertical="center" indent="1"/>
    </xf>
    <xf numFmtId="4" fontId="6" fillId="4" borderId="30" xfId="0" applyNumberFormat="1" applyFont="1" applyFill="1" applyBorder="1" applyAlignment="1">
      <alignment horizontal="right" vertical="center" indent="1"/>
    </xf>
    <xf numFmtId="0" fontId="5" fillId="0" borderId="30" xfId="0" applyFont="1" applyFill="1" applyBorder="1" applyAlignment="1">
      <alignment horizontal="center" vertical="center"/>
    </xf>
    <xf numFmtId="0" fontId="1" fillId="0" borderId="16" xfId="0" applyFont="1" applyFill="1" applyBorder="1"/>
    <xf numFmtId="164" fontId="5" fillId="6" borderId="25" xfId="2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66" fontId="6" fillId="5" borderId="22" xfId="0" applyNumberFormat="1" applyFont="1" applyFill="1" applyBorder="1" applyAlignment="1">
      <alignment vertical="center"/>
    </xf>
    <xf numFmtId="166" fontId="6" fillId="5" borderId="23" xfId="0" applyNumberFormat="1" applyFont="1" applyFill="1" applyBorder="1" applyAlignment="1">
      <alignment vertical="center"/>
    </xf>
    <xf numFmtId="9" fontId="5" fillId="6" borderId="11" xfId="3" applyFont="1" applyFill="1" applyBorder="1" applyAlignment="1">
      <alignment horizontal="center" vertical="center"/>
    </xf>
    <xf numFmtId="4" fontId="6" fillId="6" borderId="27" xfId="0" applyNumberFormat="1" applyFont="1" applyFill="1" applyBorder="1" applyAlignment="1">
      <alignment horizontal="right" vertical="center" indent="1"/>
    </xf>
    <xf numFmtId="0" fontId="5" fillId="6" borderId="12" xfId="0" applyFont="1" applyFill="1" applyBorder="1" applyAlignment="1">
      <alignment horizontal="center" vertical="center"/>
    </xf>
    <xf numFmtId="10" fontId="5" fillId="6" borderId="27" xfId="0" applyNumberFormat="1" applyFont="1" applyFill="1" applyBorder="1" applyAlignment="1">
      <alignment horizontal="center" vertical="center"/>
    </xf>
    <xf numFmtId="164" fontId="5" fillId="6" borderId="29" xfId="2" applyFont="1" applyFill="1" applyBorder="1" applyAlignment="1">
      <alignment horizontal="center" vertical="center"/>
    </xf>
    <xf numFmtId="9" fontId="5" fillId="6" borderId="18" xfId="3" applyFont="1" applyFill="1" applyBorder="1" applyAlignment="1">
      <alignment horizontal="center" vertical="center"/>
    </xf>
    <xf numFmtId="166" fontId="6" fillId="6" borderId="32" xfId="0" applyNumberFormat="1" applyFont="1" applyFill="1" applyBorder="1" applyAlignment="1">
      <alignment horizontal="right" vertical="center" indent="1"/>
    </xf>
    <xf numFmtId="4" fontId="6" fillId="6" borderId="30" xfId="0" applyNumberFormat="1" applyFont="1" applyFill="1" applyBorder="1" applyAlignment="1">
      <alignment horizontal="right" vertical="center" indent="1"/>
    </xf>
    <xf numFmtId="0" fontId="5" fillId="6" borderId="30" xfId="0" applyFont="1" applyFill="1" applyBorder="1" applyAlignment="1">
      <alignment horizontal="center" vertical="center"/>
    </xf>
    <xf numFmtId="10" fontId="5" fillId="6" borderId="30" xfId="0" applyNumberFormat="1" applyFont="1" applyFill="1" applyBorder="1" applyAlignment="1">
      <alignment horizontal="center" vertical="center"/>
    </xf>
    <xf numFmtId="164" fontId="5" fillId="6" borderId="38" xfId="2" applyFont="1" applyFill="1" applyBorder="1" applyAlignment="1">
      <alignment horizontal="center" vertical="center"/>
    </xf>
    <xf numFmtId="0" fontId="6" fillId="6" borderId="11" xfId="0" applyNumberFormat="1" applyFont="1" applyFill="1" applyBorder="1" applyAlignment="1">
      <alignment horizontal="left" vertical="center" wrapText="1"/>
    </xf>
    <xf numFmtId="166" fontId="6" fillId="6" borderId="11" xfId="0" applyNumberFormat="1" applyFont="1" applyFill="1" applyBorder="1" applyAlignment="1">
      <alignment horizontal="center" vertical="center" wrapText="1"/>
    </xf>
    <xf numFmtId="0" fontId="6" fillId="6" borderId="18" xfId="0" applyNumberFormat="1" applyFont="1" applyFill="1" applyBorder="1" applyAlignment="1">
      <alignment horizontal="left" vertical="center" wrapText="1"/>
    </xf>
    <xf numFmtId="166" fontId="6" fillId="6" borderId="18" xfId="0" applyNumberFormat="1" applyFont="1" applyFill="1" applyBorder="1" applyAlignment="1">
      <alignment horizontal="center" vertical="center" wrapText="1"/>
    </xf>
    <xf numFmtId="166" fontId="6" fillId="6" borderId="28" xfId="0" applyNumberFormat="1" applyFont="1" applyFill="1" applyBorder="1" applyAlignment="1">
      <alignment horizontal="center" vertical="center" wrapText="1"/>
    </xf>
    <xf numFmtId="9" fontId="5" fillId="6" borderId="28" xfId="3" applyFont="1" applyFill="1" applyBorder="1" applyAlignment="1">
      <alignment horizontal="center" vertical="center"/>
    </xf>
    <xf numFmtId="166" fontId="6" fillId="6" borderId="28" xfId="0" applyNumberFormat="1" applyFont="1" applyFill="1" applyBorder="1" applyAlignment="1">
      <alignment horizontal="right" vertical="center" indent="1"/>
    </xf>
    <xf numFmtId="10" fontId="5" fillId="6" borderId="12" xfId="0" applyNumberFormat="1" applyFont="1" applyFill="1" applyBorder="1" applyAlignment="1">
      <alignment horizontal="center" vertical="center"/>
    </xf>
    <xf numFmtId="164" fontId="5" fillId="6" borderId="13" xfId="2" applyFont="1" applyFill="1" applyBorder="1" applyAlignment="1">
      <alignment horizontal="center" vertical="center"/>
    </xf>
    <xf numFmtId="0" fontId="6" fillId="6" borderId="13" xfId="0" applyNumberFormat="1" applyFont="1" applyFill="1" applyBorder="1" applyAlignment="1">
      <alignment horizontal="center" vertical="center" wrapText="1"/>
    </xf>
    <xf numFmtId="4" fontId="6" fillId="6" borderId="12" xfId="0" applyNumberFormat="1" applyFont="1" applyFill="1" applyBorder="1" applyAlignment="1">
      <alignment horizontal="right" vertical="center" indent="1"/>
    </xf>
    <xf numFmtId="0" fontId="6" fillId="6" borderId="21" xfId="0" applyNumberFormat="1" applyFont="1" applyFill="1" applyBorder="1" applyAlignment="1">
      <alignment horizontal="left" vertical="center" wrapText="1"/>
    </xf>
    <xf numFmtId="166" fontId="6" fillId="6" borderId="33" xfId="0" applyNumberFormat="1" applyFont="1" applyFill="1" applyBorder="1" applyAlignment="1">
      <alignment horizontal="center" vertical="center"/>
    </xf>
    <xf numFmtId="9" fontId="5" fillId="6" borderId="8" xfId="3" applyFont="1" applyFill="1" applyBorder="1" applyAlignment="1">
      <alignment horizontal="center" vertical="center"/>
    </xf>
    <xf numFmtId="166" fontId="6" fillId="6" borderId="8" xfId="0" applyNumberFormat="1" applyFont="1" applyFill="1" applyBorder="1" applyAlignment="1">
      <alignment horizontal="right" vertical="center" indent="1"/>
    </xf>
    <xf numFmtId="4" fontId="6" fillId="6" borderId="9" xfId="0" applyNumberFormat="1" applyFont="1" applyFill="1" applyBorder="1" applyAlignment="1">
      <alignment horizontal="right" vertical="center" indent="1"/>
    </xf>
    <xf numFmtId="0" fontId="5" fillId="6" borderId="9" xfId="0" applyFont="1" applyFill="1" applyBorder="1" applyAlignment="1">
      <alignment horizontal="center" vertical="center"/>
    </xf>
    <xf numFmtId="10" fontId="5" fillId="6" borderId="9" xfId="0" applyNumberFormat="1" applyFont="1" applyFill="1" applyBorder="1" applyAlignment="1">
      <alignment horizontal="center" vertical="center"/>
    </xf>
    <xf numFmtId="164" fontId="5" fillId="6" borderId="10" xfId="2" applyFont="1" applyFill="1" applyBorder="1" applyAlignment="1">
      <alignment horizontal="center" vertical="center"/>
    </xf>
    <xf numFmtId="4" fontId="6" fillId="6" borderId="26" xfId="0" applyNumberFormat="1" applyFont="1" applyFill="1" applyBorder="1" applyAlignment="1">
      <alignment horizontal="center" vertical="center"/>
    </xf>
    <xf numFmtId="4" fontId="6" fillId="6" borderId="21" xfId="0" applyNumberFormat="1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>
      <alignment horizontal="right" vertical="center" indent="1"/>
    </xf>
    <xf numFmtId="4" fontId="6" fillId="4" borderId="34" xfId="0" applyNumberFormat="1" applyFont="1" applyFill="1" applyBorder="1" applyAlignment="1">
      <alignment horizontal="right" vertical="center" indent="1"/>
    </xf>
    <xf numFmtId="166" fontId="6" fillId="6" borderId="40" xfId="0" applyNumberFormat="1" applyFont="1" applyFill="1" applyBorder="1" applyAlignment="1">
      <alignment horizontal="right" vertical="center" indent="1"/>
    </xf>
    <xf numFmtId="0" fontId="6" fillId="0" borderId="32" xfId="0" applyNumberFormat="1" applyFont="1" applyFill="1" applyBorder="1" applyAlignment="1">
      <alignment horizontal="left" vertical="center" wrapText="1"/>
    </xf>
    <xf numFmtId="0" fontId="6" fillId="0" borderId="41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Fill="1" applyBorder="1"/>
    <xf numFmtId="166" fontId="0" fillId="0" borderId="0" xfId="0" applyNumberFormat="1"/>
    <xf numFmtId="166" fontId="6" fillId="0" borderId="32" xfId="0" applyNumberFormat="1" applyFont="1" applyFill="1" applyBorder="1" applyAlignment="1">
      <alignment horizontal="center" vertical="center" wrapText="1"/>
    </xf>
    <xf numFmtId="9" fontId="5" fillId="0" borderId="32" xfId="3" applyFont="1" applyFill="1" applyBorder="1" applyAlignment="1">
      <alignment horizontal="center" vertical="center"/>
    </xf>
    <xf numFmtId="4" fontId="6" fillId="4" borderId="42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left" vertical="center" wrapText="1"/>
    </xf>
    <xf numFmtId="4" fontId="6" fillId="6" borderId="1" xfId="0" applyNumberFormat="1" applyFont="1" applyFill="1" applyBorder="1" applyAlignment="1">
      <alignment horizontal="center" vertical="center"/>
    </xf>
    <xf numFmtId="3" fontId="6" fillId="6" borderId="13" xfId="0" applyNumberFormat="1" applyFont="1" applyFill="1" applyBorder="1" applyAlignment="1">
      <alignment horizontal="center" vertical="center"/>
    </xf>
    <xf numFmtId="3" fontId="6" fillId="0" borderId="14" xfId="0" applyNumberFormat="1" applyFont="1" applyFill="1" applyBorder="1" applyAlignment="1">
      <alignment horizontal="center" vertical="center"/>
    </xf>
    <xf numFmtId="3" fontId="6" fillId="0" borderId="20" xfId="0" applyNumberFormat="1" applyFont="1" applyFill="1" applyBorder="1" applyAlignment="1">
      <alignment horizontal="center" vertical="center"/>
    </xf>
    <xf numFmtId="3" fontId="6" fillId="0" borderId="38" xfId="0" applyNumberFormat="1" applyFont="1" applyFill="1" applyBorder="1" applyAlignment="1">
      <alignment horizontal="center" vertical="center"/>
    </xf>
    <xf numFmtId="3" fontId="6" fillId="6" borderId="20" xfId="0" applyNumberFormat="1" applyFont="1" applyFill="1" applyBorder="1" applyAlignment="1">
      <alignment horizontal="center" vertical="center"/>
    </xf>
    <xf numFmtId="3" fontId="6" fillId="6" borderId="29" xfId="0" applyNumberFormat="1" applyFont="1" applyFill="1" applyBorder="1" applyAlignment="1">
      <alignment horizontal="center" vertical="center"/>
    </xf>
    <xf numFmtId="3" fontId="6" fillId="6" borderId="10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3" fontId="6" fillId="0" borderId="29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9" fontId="18" fillId="0" borderId="4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166" fontId="6" fillId="5" borderId="4" xfId="0" applyNumberFormat="1" applyFont="1" applyFill="1" applyBorder="1" applyAlignment="1">
      <alignment horizontal="center" vertical="center"/>
    </xf>
    <xf numFmtId="166" fontId="6" fillId="5" borderId="22" xfId="0" applyNumberFormat="1" applyFont="1" applyFill="1" applyBorder="1" applyAlignment="1">
      <alignment horizontal="center" vertical="center"/>
    </xf>
    <xf numFmtId="166" fontId="6" fillId="5" borderId="23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2" xfId="2" applyNumberFormat="1" applyFont="1" applyFill="1" applyBorder="1" applyAlignment="1">
      <alignment horizontal="center" vertical="center"/>
    </xf>
    <xf numFmtId="165" fontId="18" fillId="0" borderId="23" xfId="2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9CA604-4F55-4924-9DC1-A7CDAC69D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FF8E-1158-405B-803A-A5C2628A8111}">
  <sheetPr>
    <pageSetUpPr fitToPage="1"/>
  </sheetPr>
  <dimension ref="A1:L32"/>
  <sheetViews>
    <sheetView tabSelected="1" zoomScale="70" zoomScaleNormal="70" workbookViewId="0">
      <selection activeCell="B31" sqref="B31"/>
    </sheetView>
  </sheetViews>
  <sheetFormatPr baseColWidth="10" defaultRowHeight="12.5" x14ac:dyDescent="0.25"/>
  <cols>
    <col min="1" max="1" width="32.81640625" customWidth="1"/>
    <col min="2" max="2" width="45.453125" customWidth="1"/>
    <col min="3" max="3" width="29.54296875" customWidth="1"/>
    <col min="4" max="4" width="21.1796875" customWidth="1"/>
    <col min="6" max="6" width="18.26953125" customWidth="1"/>
    <col min="7" max="7" width="14.7265625" customWidth="1"/>
    <col min="8" max="8" width="14.26953125" customWidth="1"/>
    <col min="10" max="10" width="13.1796875" customWidth="1"/>
    <col min="11" max="11" width="18.7265625" customWidth="1"/>
    <col min="12" max="12" width="16.1796875" customWidth="1"/>
  </cols>
  <sheetData>
    <row r="1" spans="1:12" ht="48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7.5" x14ac:dyDescent="0.35">
      <c r="A2" s="176" t="str">
        <f>valoración!A3</f>
        <v>PROPUESTA DE ADJUDICACIÓN DEL EXPEDIENTE S-06305-2023</v>
      </c>
      <c r="B2" s="176"/>
      <c r="C2" s="176"/>
      <c r="D2" s="176"/>
      <c r="E2" s="37"/>
      <c r="F2" s="37"/>
      <c r="G2" s="37"/>
      <c r="H2" s="37"/>
      <c r="I2" s="37"/>
      <c r="J2" s="37"/>
      <c r="K2" s="37"/>
      <c r="L2" s="37"/>
    </row>
    <row r="3" spans="1:12" ht="17.5" x14ac:dyDescent="0.35">
      <c r="A3" s="176" t="str">
        <f>valoración!A4</f>
        <v>"UpLink en Torrespaña"</v>
      </c>
      <c r="B3" s="176"/>
      <c r="C3" s="176"/>
      <c r="D3" s="176"/>
      <c r="E3" s="37"/>
      <c r="F3" s="37"/>
      <c r="G3" s="37"/>
      <c r="H3" s="37"/>
      <c r="I3" s="37"/>
      <c r="J3" s="37"/>
      <c r="K3" s="37"/>
      <c r="L3" s="37"/>
    </row>
    <row r="4" spans="1:12" ht="17.5" x14ac:dyDescent="0.35">
      <c r="A4" s="176" t="str">
        <f>valoración!A5</f>
        <v>RESUMEN PUNTUACIÓN TÉCNICA Y ECONÓMICA</v>
      </c>
      <c r="B4" s="176"/>
      <c r="C4" s="176"/>
      <c r="D4" s="176"/>
      <c r="E4" s="37"/>
      <c r="F4" s="37"/>
      <c r="G4" s="37"/>
      <c r="H4" s="37"/>
      <c r="I4" s="37"/>
      <c r="J4" s="37"/>
      <c r="K4" s="37"/>
      <c r="L4" s="37"/>
    </row>
    <row r="5" spans="1:12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3" thickBot="1" x14ac:dyDescent="0.3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35.15" customHeight="1" thickBot="1" x14ac:dyDescent="0.4">
      <c r="A7" s="165"/>
      <c r="B7" s="166"/>
      <c r="C7" s="167"/>
      <c r="D7" s="167"/>
      <c r="E7" s="170" t="s">
        <v>34</v>
      </c>
      <c r="F7" s="171"/>
      <c r="G7" s="171"/>
      <c r="H7" s="171"/>
      <c r="I7" s="171"/>
      <c r="J7" s="171"/>
      <c r="K7" s="172"/>
      <c r="L7" s="37"/>
    </row>
    <row r="8" spans="1:12" ht="43.5" customHeight="1" thickBot="1" x14ac:dyDescent="0.3">
      <c r="A8" s="15" t="s">
        <v>4</v>
      </c>
      <c r="B8" s="16" t="s">
        <v>5</v>
      </c>
      <c r="C8" s="17" t="s">
        <v>19</v>
      </c>
      <c r="D8" s="18" t="s">
        <v>0</v>
      </c>
      <c r="E8" s="16" t="s">
        <v>15</v>
      </c>
      <c r="F8" s="16" t="s">
        <v>20</v>
      </c>
      <c r="G8" s="17" t="s">
        <v>1</v>
      </c>
      <c r="H8" s="17" t="s">
        <v>16</v>
      </c>
      <c r="I8" s="17" t="s">
        <v>9</v>
      </c>
      <c r="J8" s="17" t="s">
        <v>10</v>
      </c>
      <c r="K8" s="18" t="s">
        <v>11</v>
      </c>
      <c r="L8" s="17" t="s">
        <v>18</v>
      </c>
    </row>
    <row r="9" spans="1:12" ht="34.5" customHeight="1" thickBot="1" x14ac:dyDescent="0.3">
      <c r="A9" s="168" t="s">
        <v>23</v>
      </c>
      <c r="B9" s="121" t="s">
        <v>28</v>
      </c>
      <c r="C9" s="122">
        <v>174260</v>
      </c>
      <c r="D9" s="155">
        <v>30</v>
      </c>
      <c r="E9" s="110">
        <v>0.02</v>
      </c>
      <c r="F9" s="144">
        <v>161037.51999999999</v>
      </c>
      <c r="G9" s="111">
        <v>61.559055579406412</v>
      </c>
      <c r="H9" s="111">
        <v>91.559055579406419</v>
      </c>
      <c r="I9" s="112">
        <v>1</v>
      </c>
      <c r="J9" s="113">
        <v>0.56905126555616869</v>
      </c>
      <c r="K9" s="114">
        <v>52.101796450588814</v>
      </c>
      <c r="L9" s="140">
        <f>100-($F9*100/$C9)</f>
        <v>7.5877883622173812</v>
      </c>
    </row>
    <row r="10" spans="1:12" ht="34.5" customHeight="1" thickBot="1" x14ac:dyDescent="0.3">
      <c r="A10" s="169"/>
      <c r="B10" s="70" t="s">
        <v>29</v>
      </c>
      <c r="C10" s="67">
        <v>174260</v>
      </c>
      <c r="D10" s="156">
        <v>21</v>
      </c>
      <c r="E10" s="34"/>
      <c r="F10" s="98">
        <v>160588.23000000001</v>
      </c>
      <c r="G10" s="39">
        <v>61.750003824999901</v>
      </c>
      <c r="H10" s="39">
        <v>82.750003824999908</v>
      </c>
      <c r="I10" s="32"/>
      <c r="J10" s="28"/>
      <c r="K10" s="29">
        <v>0</v>
      </c>
      <c r="L10" s="43">
        <f t="shared" ref="L10:L21" si="0">100-($F10*100/$C10)</f>
        <v>7.8456157465855512</v>
      </c>
    </row>
    <row r="11" spans="1:12" ht="34.5" customHeight="1" thickBot="1" x14ac:dyDescent="0.3">
      <c r="A11" s="169"/>
      <c r="B11" s="71" t="s">
        <v>30</v>
      </c>
      <c r="C11" s="68">
        <v>174260</v>
      </c>
      <c r="D11" s="157">
        <v>21</v>
      </c>
      <c r="E11" s="47"/>
      <c r="F11" s="99">
        <v>152941.18</v>
      </c>
      <c r="G11" s="103">
        <v>65</v>
      </c>
      <c r="H11" s="103">
        <v>86</v>
      </c>
      <c r="I11" s="48"/>
      <c r="J11" s="94"/>
      <c r="K11" s="93">
        <v>0</v>
      </c>
      <c r="L11" s="43">
        <f t="shared" si="0"/>
        <v>12.23391483989441</v>
      </c>
    </row>
    <row r="12" spans="1:12" ht="34.5" customHeight="1" thickBot="1" x14ac:dyDescent="0.3">
      <c r="A12" s="169"/>
      <c r="B12" s="153" t="s">
        <v>31</v>
      </c>
      <c r="C12" s="173" t="s">
        <v>32</v>
      </c>
      <c r="D12" s="174"/>
      <c r="E12" s="174"/>
      <c r="F12" s="174"/>
      <c r="G12" s="174"/>
      <c r="H12" s="174"/>
      <c r="I12" s="174"/>
      <c r="J12" s="174"/>
      <c r="K12" s="174"/>
      <c r="L12" s="175"/>
    </row>
    <row r="13" spans="1:12" ht="34.5" customHeight="1" thickBot="1" x14ac:dyDescent="0.3">
      <c r="A13" s="168" t="s">
        <v>24</v>
      </c>
      <c r="B13" s="145" t="s">
        <v>29</v>
      </c>
      <c r="C13" s="150">
        <v>82762</v>
      </c>
      <c r="D13" s="158">
        <v>5</v>
      </c>
      <c r="E13" s="151"/>
      <c r="F13" s="97">
        <v>69176.460000000006</v>
      </c>
      <c r="G13" s="73">
        <v>80.750009676339715</v>
      </c>
      <c r="H13" s="73">
        <v>85.750009676339715</v>
      </c>
      <c r="I13" s="104"/>
      <c r="J13" s="94"/>
      <c r="K13" s="93">
        <v>0</v>
      </c>
      <c r="L13" s="152">
        <f t="shared" si="0"/>
        <v>16.415190546386015</v>
      </c>
    </row>
    <row r="14" spans="1:12" ht="34.5" customHeight="1" thickBot="1" x14ac:dyDescent="0.3">
      <c r="A14" s="169"/>
      <c r="B14" s="123" t="s">
        <v>30</v>
      </c>
      <c r="C14" s="124">
        <v>82762</v>
      </c>
      <c r="D14" s="159">
        <v>5</v>
      </c>
      <c r="E14" s="115"/>
      <c r="F14" s="116">
        <v>65882.350000000006</v>
      </c>
      <c r="G14" s="117">
        <v>85</v>
      </c>
      <c r="H14" s="117">
        <v>90</v>
      </c>
      <c r="I14" s="118">
        <v>1</v>
      </c>
      <c r="J14" s="119">
        <v>0.2702617975436683</v>
      </c>
      <c r="K14" s="120">
        <v>24.323561778930149</v>
      </c>
      <c r="L14" s="140">
        <f t="shared" si="0"/>
        <v>20.395410937386714</v>
      </c>
    </row>
    <row r="15" spans="1:12" ht="34.5" customHeight="1" thickBot="1" x14ac:dyDescent="0.3">
      <c r="A15" s="168" t="s">
        <v>25</v>
      </c>
      <c r="B15" s="121" t="s">
        <v>28</v>
      </c>
      <c r="C15" s="125">
        <v>27217</v>
      </c>
      <c r="D15" s="160">
        <v>30</v>
      </c>
      <c r="E15" s="126">
        <v>0.02</v>
      </c>
      <c r="F15" s="127">
        <v>26479.599999999999</v>
      </c>
      <c r="G15" s="111">
        <v>65</v>
      </c>
      <c r="H15" s="111">
        <v>95</v>
      </c>
      <c r="I15" s="112">
        <v>1</v>
      </c>
      <c r="J15" s="128">
        <v>8.8877931221406206E-2</v>
      </c>
      <c r="K15" s="129">
        <v>8.4434034660335904</v>
      </c>
      <c r="L15" s="154">
        <f t="shared" si="0"/>
        <v>2.7093360767167525</v>
      </c>
    </row>
    <row r="16" spans="1:12" ht="34.5" customHeight="1" thickBot="1" x14ac:dyDescent="0.3">
      <c r="A16" s="169"/>
      <c r="B16" s="70" t="s">
        <v>29</v>
      </c>
      <c r="C16" s="68">
        <v>27217</v>
      </c>
      <c r="D16" s="157">
        <v>21</v>
      </c>
      <c r="E16" s="47"/>
      <c r="F16" s="98">
        <v>27216</v>
      </c>
      <c r="G16" s="21">
        <v>63.192344295231052</v>
      </c>
      <c r="H16" s="21">
        <v>84.192344295231052</v>
      </c>
      <c r="I16" s="48"/>
      <c r="J16" s="28"/>
      <c r="K16" s="29">
        <v>0</v>
      </c>
      <c r="L16" s="154">
        <f t="shared" si="0"/>
        <v>3.6741742293457946E-3</v>
      </c>
    </row>
    <row r="17" spans="1:12" ht="34.5" customHeight="1" thickBot="1" x14ac:dyDescent="0.3">
      <c r="A17" s="169"/>
      <c r="B17" s="71" t="s">
        <v>30</v>
      </c>
      <c r="C17" s="68">
        <v>27217</v>
      </c>
      <c r="D17" s="157">
        <v>21</v>
      </c>
      <c r="E17" s="47"/>
      <c r="F17" s="97">
        <v>27216</v>
      </c>
      <c r="G17" s="83">
        <v>63.192344295231052</v>
      </c>
      <c r="H17" s="73">
        <v>84.192344295231052</v>
      </c>
      <c r="I17" s="50"/>
      <c r="J17" s="94"/>
      <c r="K17" s="93">
        <v>0</v>
      </c>
      <c r="L17" s="154">
        <f t="shared" si="0"/>
        <v>3.6741742293457946E-3</v>
      </c>
    </row>
    <row r="18" spans="1:12" ht="34.5" customHeight="1" thickBot="1" x14ac:dyDescent="0.3">
      <c r="A18" s="168" t="s">
        <v>26</v>
      </c>
      <c r="B18" s="121" t="s">
        <v>28</v>
      </c>
      <c r="C18" s="122">
        <v>9155</v>
      </c>
      <c r="D18" s="130">
        <v>10</v>
      </c>
      <c r="E18" s="110">
        <v>0.01</v>
      </c>
      <c r="F18" s="127">
        <v>8842.68</v>
      </c>
      <c r="G18" s="111">
        <v>84.815521678965226</v>
      </c>
      <c r="H18" s="131">
        <v>94.815521678965226</v>
      </c>
      <c r="I18" s="112">
        <v>1</v>
      </c>
      <c r="J18" s="128">
        <v>2.9895927557481494E-2</v>
      </c>
      <c r="K18" s="129">
        <v>2.8345979674391604</v>
      </c>
      <c r="L18" s="140">
        <f t="shared" si="0"/>
        <v>3.4114691425450587</v>
      </c>
    </row>
    <row r="19" spans="1:12" ht="34.5" customHeight="1" x14ac:dyDescent="0.25">
      <c r="A19" s="169"/>
      <c r="B19" s="71" t="s">
        <v>30</v>
      </c>
      <c r="C19" s="68">
        <v>9155</v>
      </c>
      <c r="D19" s="79">
        <v>5</v>
      </c>
      <c r="E19" s="47"/>
      <c r="F19" s="98">
        <v>8823.5300000000007</v>
      </c>
      <c r="G19" s="39">
        <v>85</v>
      </c>
      <c r="H19" s="21">
        <v>90</v>
      </c>
      <c r="I19" s="50"/>
      <c r="J19" s="28"/>
      <c r="K19" s="29">
        <v>0</v>
      </c>
      <c r="L19" s="43">
        <f t="shared" si="0"/>
        <v>3.6206444565810898</v>
      </c>
    </row>
    <row r="20" spans="1:12" ht="34.5" customHeight="1" thickBot="1" x14ac:dyDescent="0.3">
      <c r="A20" s="169"/>
      <c r="B20" s="71" t="s">
        <v>31</v>
      </c>
      <c r="C20" s="77">
        <v>9155</v>
      </c>
      <c r="D20" s="80">
        <v>5</v>
      </c>
      <c r="E20" s="47"/>
      <c r="F20" s="97">
        <v>9019.1</v>
      </c>
      <c r="G20" s="103">
        <v>83.116009125599405</v>
      </c>
      <c r="H20" s="73">
        <v>88.116009125599405</v>
      </c>
      <c r="I20" s="48"/>
      <c r="J20" s="94"/>
      <c r="K20" s="93">
        <v>0</v>
      </c>
      <c r="L20" s="152">
        <f t="shared" si="0"/>
        <v>1.4844347351174179</v>
      </c>
    </row>
    <row r="21" spans="1:12" ht="34.5" customHeight="1" thickBot="1" x14ac:dyDescent="0.3">
      <c r="A21" s="51" t="s">
        <v>27</v>
      </c>
      <c r="B21" s="132" t="s">
        <v>33</v>
      </c>
      <c r="C21" s="133">
        <v>12835</v>
      </c>
      <c r="D21" s="161">
        <v>0</v>
      </c>
      <c r="E21" s="134"/>
      <c r="F21" s="135">
        <v>12800</v>
      </c>
      <c r="G21" s="136">
        <v>85</v>
      </c>
      <c r="H21" s="136">
        <v>85</v>
      </c>
      <c r="I21" s="137">
        <v>1</v>
      </c>
      <c r="J21" s="138">
        <v>4.1913078121275253E-2</v>
      </c>
      <c r="K21" s="139">
        <v>3.5626116403083965</v>
      </c>
      <c r="L21" s="141">
        <f t="shared" si="0"/>
        <v>0.27269185820023267</v>
      </c>
    </row>
    <row r="22" spans="1:12" ht="26.25" customHeight="1" thickBot="1" x14ac:dyDescent="0.3">
      <c r="A22" s="9"/>
      <c r="B22" s="52" t="s">
        <v>12</v>
      </c>
      <c r="C22" s="53">
        <f>C11+C14+C17+C20+C21</f>
        <v>306229</v>
      </c>
      <c r="D22" s="10"/>
      <c r="E22" s="10"/>
      <c r="F22" s="10"/>
      <c r="G22" s="10"/>
      <c r="H22" s="10"/>
      <c r="I22" s="10"/>
    </row>
    <row r="24" spans="1:12" ht="14" x14ac:dyDescent="0.3">
      <c r="A24" s="1" t="s">
        <v>2</v>
      </c>
      <c r="B24" s="10"/>
      <c r="C24" s="10"/>
      <c r="D24" s="10"/>
      <c r="E24" s="10"/>
    </row>
    <row r="25" spans="1:12" ht="14" x14ac:dyDescent="0.3">
      <c r="A25" s="40" t="s">
        <v>36</v>
      </c>
      <c r="B25" s="10"/>
      <c r="C25" s="10"/>
      <c r="D25" s="10"/>
      <c r="E25" s="10"/>
    </row>
    <row r="26" spans="1:12" x14ac:dyDescent="0.25">
      <c r="F26" s="149"/>
    </row>
    <row r="30" spans="1:12" x14ac:dyDescent="0.25">
      <c r="E30" s="164"/>
    </row>
    <row r="31" spans="1:12" x14ac:dyDescent="0.25">
      <c r="E31" s="164"/>
    </row>
    <row r="32" spans="1:12" x14ac:dyDescent="0.25">
      <c r="E32" s="164"/>
      <c r="F32" s="149"/>
    </row>
  </sheetData>
  <mergeCells count="9">
    <mergeCell ref="A15:A17"/>
    <mergeCell ref="A18:A20"/>
    <mergeCell ref="E7:K7"/>
    <mergeCell ref="C12:L12"/>
    <mergeCell ref="A2:D2"/>
    <mergeCell ref="A3:D3"/>
    <mergeCell ref="A4:D4"/>
    <mergeCell ref="A9:A12"/>
    <mergeCell ref="A13:A1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28"/>
  <sheetViews>
    <sheetView showGridLines="0" showZeros="0" topLeftCell="A2" zoomScale="70" zoomScaleNormal="70" workbookViewId="0">
      <selection activeCell="A5" sqref="A5:Q5"/>
    </sheetView>
  </sheetViews>
  <sheetFormatPr baseColWidth="10" defaultColWidth="11.453125" defaultRowHeight="15.5" x14ac:dyDescent="0.25"/>
  <cols>
    <col min="1" max="1" width="30.453125" style="9" customWidth="1"/>
    <col min="2" max="2" width="39.1796875" style="10" customWidth="1"/>
    <col min="3" max="3" width="28.81640625" style="10" customWidth="1"/>
    <col min="4" max="4" width="17" style="10" customWidth="1"/>
    <col min="5" max="12" width="16.7265625" style="10" customWidth="1"/>
    <col min="13" max="13" width="17.81640625" style="10" customWidth="1"/>
    <col min="14" max="24" width="16.7265625" style="10" customWidth="1"/>
    <col min="25" max="25" width="11.453125" style="10"/>
    <col min="26" max="26" width="18" style="10" customWidth="1"/>
    <col min="27" max="27" width="14.453125" style="10" customWidth="1"/>
    <col min="28" max="28" width="15.54296875" style="10" customWidth="1"/>
    <col min="29" max="29" width="17.26953125" style="10" customWidth="1"/>
    <col min="30" max="30" width="18.54296875" style="10" customWidth="1"/>
    <col min="31" max="31" width="18.1796875" style="10" customWidth="1"/>
    <col min="32" max="16384" width="11.453125" style="10"/>
  </cols>
  <sheetData>
    <row r="1" spans="1:31" hidden="1" x14ac:dyDescent="0.25">
      <c r="AA1" s="12" t="s">
        <v>6</v>
      </c>
    </row>
    <row r="2" spans="1:31" s="3" customFormat="1" ht="55" customHeight="1" x14ac:dyDescent="0.2">
      <c r="A2" s="2"/>
      <c r="D2" s="4"/>
      <c r="E2" s="4"/>
      <c r="F2" s="4"/>
      <c r="G2" s="4"/>
      <c r="H2" s="5"/>
      <c r="M2" s="11"/>
      <c r="AA2" s="13" t="s">
        <v>17</v>
      </c>
      <c r="AB2" s="14">
        <v>65</v>
      </c>
    </row>
    <row r="3" spans="1:31" s="3" customFormat="1" ht="37" customHeight="1" x14ac:dyDescent="0.2">
      <c r="A3" s="177" t="s">
        <v>21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72"/>
      <c r="S3" s="72"/>
      <c r="T3" s="72"/>
      <c r="U3" s="72"/>
      <c r="V3" s="72"/>
      <c r="W3" s="72"/>
      <c r="X3" s="72"/>
      <c r="AA3" s="24" t="s">
        <v>8</v>
      </c>
    </row>
    <row r="4" spans="1:31" s="3" customFormat="1" ht="22.5" customHeight="1" x14ac:dyDescent="0.2">
      <c r="A4" s="177" t="s">
        <v>22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72"/>
      <c r="S4" s="72"/>
      <c r="T4" s="72"/>
      <c r="U4" s="72"/>
      <c r="V4" s="72"/>
      <c r="W4" s="72"/>
      <c r="X4" s="72"/>
    </row>
    <row r="5" spans="1:31" s="3" customFormat="1" ht="24.65" customHeight="1" x14ac:dyDescent="0.2">
      <c r="A5" s="177" t="s">
        <v>3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72"/>
      <c r="S5" s="72"/>
      <c r="T5" s="72"/>
      <c r="U5" s="72"/>
      <c r="V5" s="72"/>
      <c r="W5" s="72"/>
      <c r="X5" s="72"/>
    </row>
    <row r="6" spans="1:31" s="3" customFormat="1" ht="24.65" customHeight="1" thickBot="1" x14ac:dyDescent="0.25">
      <c r="A6" s="22"/>
      <c r="B6" s="22"/>
      <c r="C6" s="22"/>
      <c r="D6" s="22"/>
      <c r="E6" s="22"/>
      <c r="F6" s="22"/>
      <c r="G6" s="22"/>
      <c r="H6" s="4"/>
    </row>
    <row r="7" spans="1:31" s="3" customFormat="1" ht="24.75" customHeight="1" thickBot="1" x14ac:dyDescent="0.4">
      <c r="A7" s="2"/>
      <c r="B7" s="6"/>
      <c r="C7" s="7"/>
      <c r="D7" s="7"/>
      <c r="E7" s="179" t="s">
        <v>14</v>
      </c>
      <c r="F7" s="180"/>
      <c r="G7" s="180"/>
      <c r="H7" s="180"/>
      <c r="I7" s="180"/>
      <c r="J7" s="181"/>
      <c r="K7" s="170" t="s">
        <v>34</v>
      </c>
      <c r="L7" s="171"/>
      <c r="M7" s="171"/>
      <c r="N7" s="171"/>
      <c r="O7" s="171"/>
      <c r="P7" s="171"/>
      <c r="Q7" s="172"/>
      <c r="R7" s="170" t="s">
        <v>35</v>
      </c>
      <c r="S7" s="171"/>
      <c r="T7" s="171"/>
      <c r="U7" s="171"/>
      <c r="V7" s="171"/>
      <c r="W7" s="171"/>
      <c r="X7" s="172"/>
      <c r="Y7" s="170" t="s">
        <v>37</v>
      </c>
      <c r="Z7" s="171"/>
      <c r="AA7" s="171"/>
      <c r="AB7" s="171"/>
      <c r="AC7" s="171"/>
      <c r="AD7" s="171"/>
      <c r="AE7" s="172"/>
    </row>
    <row r="8" spans="1:31" s="8" customFormat="1" ht="45.5" thickBot="1" x14ac:dyDescent="0.35">
      <c r="A8" s="15" t="s">
        <v>4</v>
      </c>
      <c r="B8" s="16" t="s">
        <v>5</v>
      </c>
      <c r="C8" s="17" t="s">
        <v>19</v>
      </c>
      <c r="D8" s="18" t="s">
        <v>0</v>
      </c>
      <c r="E8" s="16" t="s">
        <v>20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20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  <c r="R8" s="16" t="s">
        <v>15</v>
      </c>
      <c r="S8" s="16" t="s">
        <v>20</v>
      </c>
      <c r="T8" s="17" t="s">
        <v>1</v>
      </c>
      <c r="U8" s="17" t="s">
        <v>16</v>
      </c>
      <c r="V8" s="17" t="s">
        <v>9</v>
      </c>
      <c r="W8" s="17" t="s">
        <v>10</v>
      </c>
      <c r="X8" s="18" t="s">
        <v>11</v>
      </c>
      <c r="Y8" s="16" t="s">
        <v>15</v>
      </c>
      <c r="Z8" s="16" t="s">
        <v>20</v>
      </c>
      <c r="AA8" s="17" t="s">
        <v>1</v>
      </c>
      <c r="AB8" s="17" t="s">
        <v>16</v>
      </c>
      <c r="AC8" s="17" t="s">
        <v>9</v>
      </c>
      <c r="AD8" s="17" t="s">
        <v>10</v>
      </c>
      <c r="AE8" s="18" t="s">
        <v>11</v>
      </c>
    </row>
    <row r="9" spans="1:31" s="3" customFormat="1" ht="35.15" customHeight="1" x14ac:dyDescent="0.2">
      <c r="A9" s="168" t="s">
        <v>23</v>
      </c>
      <c r="B9" s="69" t="s">
        <v>28</v>
      </c>
      <c r="C9" s="59">
        <v>174260</v>
      </c>
      <c r="D9" s="162">
        <v>30</v>
      </c>
      <c r="E9" s="19">
        <v>164324</v>
      </c>
      <c r="F9" s="20">
        <f>$AB$2*(2-E9/MIN(E$9:E$12))</f>
        <v>60.162301611639194</v>
      </c>
      <c r="G9" s="74">
        <f>D9+F9</f>
        <v>90.162301611639194</v>
      </c>
      <c r="H9" s="30">
        <v>1</v>
      </c>
      <c r="I9" s="26">
        <f>+$C9/$C$22*H9</f>
        <v>0.56905126555616869</v>
      </c>
      <c r="J9" s="27">
        <f t="shared" ref="J9:J21" si="0">+G9*I9</f>
        <v>51.306971837560269</v>
      </c>
      <c r="K9" s="33">
        <v>0.02</v>
      </c>
      <c r="L9" s="99">
        <f>+$E9*(1-K9)</f>
        <v>161037.51999999999</v>
      </c>
      <c r="M9" s="102">
        <f>$AB$2*(2-L9/MIN(L$9:L$11))</f>
        <v>61.559055579406412</v>
      </c>
      <c r="N9" s="102">
        <f>D9+M9</f>
        <v>91.559055579406419</v>
      </c>
      <c r="O9" s="42">
        <v>1</v>
      </c>
      <c r="P9" s="63">
        <f>+$C9/$C$22*O9</f>
        <v>0.56905126555616869</v>
      </c>
      <c r="Q9" s="64">
        <f t="shared" ref="Q9" si="1">+N9*P9</f>
        <v>52.101796450588814</v>
      </c>
      <c r="R9" s="33"/>
      <c r="S9" s="99">
        <f>+$E9*(1-R9)</f>
        <v>164324</v>
      </c>
      <c r="T9" s="102">
        <f>$AB$2*(2-S9/MIN(S$9:S$11))</f>
        <v>60.162301611639194</v>
      </c>
      <c r="U9" s="102">
        <f>D9+T9</f>
        <v>90.162301611639194</v>
      </c>
      <c r="V9" s="42"/>
      <c r="W9" s="63"/>
      <c r="X9" s="64"/>
      <c r="Y9" s="33"/>
      <c r="Z9" s="99">
        <f>+$E9*(1-Y9)</f>
        <v>164324</v>
      </c>
      <c r="AA9" s="102">
        <f>$AB$2*(2-Z9/MIN(Z$9:Z$11))</f>
        <v>57.252397512124155</v>
      </c>
      <c r="AB9" s="102">
        <f>D9+AA9</f>
        <v>87.252397512124162</v>
      </c>
      <c r="AC9" s="42"/>
      <c r="AD9" s="63">
        <f>+$C9/$C$22*AC9</f>
        <v>0</v>
      </c>
      <c r="AE9" s="64">
        <f t="shared" ref="AE9:AE11" si="2">+AB9*AD9</f>
        <v>0</v>
      </c>
    </row>
    <row r="10" spans="1:31" s="3" customFormat="1" ht="35.15" customHeight="1" x14ac:dyDescent="0.2">
      <c r="A10" s="169"/>
      <c r="B10" s="70" t="s">
        <v>29</v>
      </c>
      <c r="C10" s="67">
        <v>174260</v>
      </c>
      <c r="D10" s="156">
        <v>21</v>
      </c>
      <c r="E10" s="41">
        <v>160588.23000000001</v>
      </c>
      <c r="F10" s="21">
        <f>$AB$2*(2-E10/MIN(E$9:E$12))</f>
        <v>61.750003824999901</v>
      </c>
      <c r="G10" s="76">
        <f t="shared" ref="G10:G11" si="3">D10+F10</f>
        <v>82.750003824999908</v>
      </c>
      <c r="H10" s="31"/>
      <c r="I10" s="28">
        <f>+$C10/$C$22*H10</f>
        <v>0</v>
      </c>
      <c r="J10" s="46"/>
      <c r="K10" s="34"/>
      <c r="L10" s="98">
        <f t="shared" ref="L10:L21" si="4">+$E10*(1-K10)</f>
        <v>160588.23000000001</v>
      </c>
      <c r="M10" s="39">
        <f>$AB$2*(2-L10/MIN(L$9:L$11))</f>
        <v>61.750003824999901</v>
      </c>
      <c r="N10" s="39">
        <f t="shared" ref="N10:N21" si="5">D10+M10</f>
        <v>82.750003824999908</v>
      </c>
      <c r="O10" s="32"/>
      <c r="P10" s="28">
        <f t="shared" ref="P10:P21" si="6">+$C10/$C$22*O10</f>
        <v>0</v>
      </c>
      <c r="Q10" s="29"/>
      <c r="R10" s="34">
        <v>0.03</v>
      </c>
      <c r="S10" s="98">
        <f t="shared" ref="S10:S21" si="7">+$E10*(1-R10)</f>
        <v>155770.58310000002</v>
      </c>
      <c r="T10" s="39">
        <f>$AB$2*(2-S10/MIN(S$9:S$11))</f>
        <v>63.797503710249899</v>
      </c>
      <c r="U10" s="39">
        <f t="shared" ref="U10:U21" si="8">D10+T10</f>
        <v>84.797503710249899</v>
      </c>
      <c r="V10" s="104">
        <v>1</v>
      </c>
      <c r="W10" s="28">
        <f t="shared" ref="W10" si="9">+$C10/$C$22*V10</f>
        <v>0.56905126555616869</v>
      </c>
      <c r="X10" s="29">
        <f t="shared" ref="X10" si="10">+U10*W10</f>
        <v>48.254126802321615</v>
      </c>
      <c r="Y10" s="34"/>
      <c r="Z10" s="98">
        <f t="shared" ref="Z10:Z21" si="11">+$E10*(1-Y10)</f>
        <v>160588.23000000001</v>
      </c>
      <c r="AA10" s="39">
        <f>$AB$2*(2-Z10/MIN(Z$9:Z$11))</f>
        <v>58.906253984374892</v>
      </c>
      <c r="AB10" s="39">
        <f t="shared" ref="AB10:AB21" si="12">D10+AA10</f>
        <v>79.906253984374899</v>
      </c>
      <c r="AC10" s="32"/>
      <c r="AD10" s="28">
        <f t="shared" ref="AD10:AD11" si="13">+$C10/$C$22*AC10</f>
        <v>0</v>
      </c>
      <c r="AE10" s="29">
        <f t="shared" si="2"/>
        <v>0</v>
      </c>
    </row>
    <row r="11" spans="1:31" s="3" customFormat="1" ht="35.15" customHeight="1" thickBot="1" x14ac:dyDescent="0.25">
      <c r="A11" s="169"/>
      <c r="B11" s="71" t="s">
        <v>30</v>
      </c>
      <c r="C11" s="68">
        <v>174260</v>
      </c>
      <c r="D11" s="157">
        <v>21</v>
      </c>
      <c r="E11" s="49">
        <v>152941.18</v>
      </c>
      <c r="F11" s="83">
        <f>$AB$2*(2-E11/MIN(E$9:E$12))</f>
        <v>65</v>
      </c>
      <c r="G11" s="83">
        <f t="shared" si="3"/>
        <v>86</v>
      </c>
      <c r="H11" s="44"/>
      <c r="I11" s="45"/>
      <c r="J11" s="46"/>
      <c r="K11" s="47"/>
      <c r="L11" s="99">
        <f t="shared" si="4"/>
        <v>152941.18</v>
      </c>
      <c r="M11" s="103">
        <f>$AB$2*(2-L11/MIN(L$9:L$11))</f>
        <v>65</v>
      </c>
      <c r="N11" s="103">
        <f t="shared" si="5"/>
        <v>86</v>
      </c>
      <c r="O11" s="48"/>
      <c r="P11" s="94">
        <f t="shared" si="6"/>
        <v>0</v>
      </c>
      <c r="Q11" s="93"/>
      <c r="R11" s="47"/>
      <c r="S11" s="99">
        <f t="shared" si="7"/>
        <v>152941.18</v>
      </c>
      <c r="T11" s="103">
        <f>$AB$2*(2-S11/MIN(S$9:S$11))</f>
        <v>65</v>
      </c>
      <c r="U11" s="143">
        <f>D11+T11</f>
        <v>86</v>
      </c>
      <c r="V11" s="48"/>
      <c r="W11" s="94"/>
      <c r="X11" s="93"/>
      <c r="Y11" s="47">
        <v>0.04</v>
      </c>
      <c r="Z11" s="99">
        <f t="shared" si="11"/>
        <v>146823.53279999999</v>
      </c>
      <c r="AA11" s="103">
        <f>$AB$2*(2-Z11/MIN(Z$9:Z$11))</f>
        <v>65</v>
      </c>
      <c r="AB11" s="143">
        <f t="shared" si="12"/>
        <v>86</v>
      </c>
      <c r="AC11" s="104">
        <v>1</v>
      </c>
      <c r="AD11" s="94">
        <f t="shared" si="13"/>
        <v>0.56905126555616869</v>
      </c>
      <c r="AE11" s="93">
        <f t="shared" si="2"/>
        <v>48.938408837830508</v>
      </c>
    </row>
    <row r="12" spans="1:31" s="3" customFormat="1" ht="35.15" customHeight="1" thickBot="1" x14ac:dyDescent="0.25">
      <c r="A12" s="169"/>
      <c r="B12" s="146" t="s">
        <v>31</v>
      </c>
      <c r="C12" s="173" t="s">
        <v>32</v>
      </c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5"/>
      <c r="R12" s="108"/>
      <c r="S12" s="108">
        <f t="shared" si="7"/>
        <v>0</v>
      </c>
      <c r="T12" s="108"/>
      <c r="U12" s="108"/>
      <c r="V12" s="108"/>
      <c r="W12" s="108"/>
      <c r="X12" s="109"/>
      <c r="Y12" s="108"/>
      <c r="Z12" s="108">
        <f t="shared" si="11"/>
        <v>0</v>
      </c>
      <c r="AA12" s="108"/>
      <c r="AB12" s="108">
        <f t="shared" si="12"/>
        <v>0</v>
      </c>
      <c r="AC12" s="108"/>
      <c r="AD12" s="108"/>
      <c r="AE12" s="109"/>
    </row>
    <row r="13" spans="1:31" s="3" customFormat="1" ht="35.15" customHeight="1" x14ac:dyDescent="0.2">
      <c r="A13" s="168" t="s">
        <v>24</v>
      </c>
      <c r="B13" s="145" t="s">
        <v>29</v>
      </c>
      <c r="C13" s="59">
        <v>82762</v>
      </c>
      <c r="D13" s="162">
        <v>5</v>
      </c>
      <c r="E13" s="19">
        <v>69176.460000000006</v>
      </c>
      <c r="F13" s="20">
        <f>85*(2-E13/MIN(E$13:E$14))</f>
        <v>80.750009676339715</v>
      </c>
      <c r="G13" s="74">
        <f t="shared" ref="G13:G21" si="14">D13+F13</f>
        <v>85.750009676339715</v>
      </c>
      <c r="H13" s="30"/>
      <c r="I13" s="26">
        <f>+$C13/$C$22*H13</f>
        <v>0</v>
      </c>
      <c r="J13" s="64"/>
      <c r="K13" s="33"/>
      <c r="L13" s="19">
        <f t="shared" si="4"/>
        <v>69176.460000000006</v>
      </c>
      <c r="M13" s="20">
        <f>85*(2-L13/MIN(L$13:L$14))</f>
        <v>80.750009676339715</v>
      </c>
      <c r="N13" s="20">
        <f t="shared" si="5"/>
        <v>85.750009676339715</v>
      </c>
      <c r="O13" s="42"/>
      <c r="P13" s="26">
        <f t="shared" si="6"/>
        <v>0</v>
      </c>
      <c r="Q13" s="27"/>
      <c r="R13" s="33">
        <v>0.03</v>
      </c>
      <c r="S13" s="19">
        <f t="shared" si="7"/>
        <v>67101.166200000007</v>
      </c>
      <c r="T13" s="20">
        <f>85*(2-S13/MIN(S$13:S$14))</f>
        <v>83.427509386049536</v>
      </c>
      <c r="U13" s="20">
        <f t="shared" si="8"/>
        <v>88.427509386049536</v>
      </c>
      <c r="V13" s="42">
        <v>1</v>
      </c>
      <c r="W13" s="26">
        <f t="shared" ref="W13:W21" si="15">+$C13/$C$22*V13</f>
        <v>0.2702617975436683</v>
      </c>
      <c r="X13" s="27">
        <f t="shared" ref="X13:X21" si="16">+U13*W13</f>
        <v>23.898577638983348</v>
      </c>
      <c r="Y13" s="33"/>
      <c r="Z13" s="19">
        <f t="shared" si="11"/>
        <v>69176.460000000006</v>
      </c>
      <c r="AA13" s="20">
        <f>85*(2-Z13/MIN(Z$13:Z$14))</f>
        <v>77.03126007952055</v>
      </c>
      <c r="AB13" s="38">
        <f t="shared" si="12"/>
        <v>82.03126007952055</v>
      </c>
      <c r="AC13" s="42"/>
      <c r="AD13" s="26">
        <f t="shared" ref="AD13:AD21" si="17">+$C13/$C$22*AC13</f>
        <v>0</v>
      </c>
      <c r="AE13" s="27">
        <f t="shared" ref="AE13:AE21" si="18">+AB13*AD13</f>
        <v>0</v>
      </c>
    </row>
    <row r="14" spans="1:31" s="3" customFormat="1" ht="35.15" customHeight="1" thickBot="1" x14ac:dyDescent="0.25">
      <c r="A14" s="169"/>
      <c r="B14" s="71" t="s">
        <v>30</v>
      </c>
      <c r="C14" s="68">
        <v>82762</v>
      </c>
      <c r="D14" s="157">
        <v>5</v>
      </c>
      <c r="E14" s="23">
        <v>65882.350000000006</v>
      </c>
      <c r="F14" s="73">
        <f>85*(2-E14/MIN(E$13:E$14))</f>
        <v>85</v>
      </c>
      <c r="G14" s="83">
        <f t="shared" si="14"/>
        <v>90</v>
      </c>
      <c r="H14" s="44">
        <v>1</v>
      </c>
      <c r="I14" s="85">
        <f>+$C14/$C$22*H14</f>
        <v>0.2702617975436683</v>
      </c>
      <c r="J14" s="100">
        <f t="shared" si="0"/>
        <v>24.323561778930149</v>
      </c>
      <c r="K14" s="47"/>
      <c r="L14" s="97">
        <f t="shared" si="4"/>
        <v>65882.350000000006</v>
      </c>
      <c r="M14" s="73">
        <f>85*(2-L14/MIN(L$13:L$14))</f>
        <v>85</v>
      </c>
      <c r="N14" s="73">
        <f t="shared" si="5"/>
        <v>90</v>
      </c>
      <c r="O14" s="104">
        <v>1</v>
      </c>
      <c r="P14" s="94">
        <f t="shared" si="6"/>
        <v>0.2702617975436683</v>
      </c>
      <c r="Q14" s="93">
        <f t="shared" ref="Q14:Q21" si="19">+N14*P14</f>
        <v>24.323561778930149</v>
      </c>
      <c r="R14" s="47"/>
      <c r="S14" s="97">
        <f t="shared" si="7"/>
        <v>65882.350000000006</v>
      </c>
      <c r="T14" s="73">
        <f>85*(2-S14/MIN(S$13:S$14))</f>
        <v>85</v>
      </c>
      <c r="U14" s="73">
        <f t="shared" si="8"/>
        <v>90</v>
      </c>
      <c r="V14" s="104"/>
      <c r="W14" s="94">
        <f t="shared" si="15"/>
        <v>0</v>
      </c>
      <c r="X14" s="93"/>
      <c r="Y14" s="47">
        <v>0.04</v>
      </c>
      <c r="Z14" s="97">
        <f t="shared" si="11"/>
        <v>63247.056000000004</v>
      </c>
      <c r="AA14" s="73">
        <f>85*(2-Z14/MIN(Z$13:Z$14))</f>
        <v>85</v>
      </c>
      <c r="AB14" s="143">
        <f t="shared" si="12"/>
        <v>90</v>
      </c>
      <c r="AC14" s="104">
        <v>1</v>
      </c>
      <c r="AD14" s="94">
        <f t="shared" si="17"/>
        <v>0.2702617975436683</v>
      </c>
      <c r="AE14" s="93">
        <f t="shared" si="18"/>
        <v>24.323561778930149</v>
      </c>
    </row>
    <row r="15" spans="1:31" s="3" customFormat="1" ht="35.15" customHeight="1" x14ac:dyDescent="0.2">
      <c r="A15" s="168" t="s">
        <v>25</v>
      </c>
      <c r="B15" s="69" t="s">
        <v>28</v>
      </c>
      <c r="C15" s="66">
        <v>27217</v>
      </c>
      <c r="D15" s="163">
        <v>30</v>
      </c>
      <c r="E15" s="61">
        <v>27020</v>
      </c>
      <c r="F15" s="20">
        <f>$AB$2*(2-E15/MIN(E$15:E$17))</f>
        <v>65</v>
      </c>
      <c r="G15" s="74">
        <f t="shared" si="14"/>
        <v>95</v>
      </c>
      <c r="H15" s="62">
        <v>1</v>
      </c>
      <c r="I15" s="84">
        <f t="shared" ref="I15:I21" si="20">+$C15/$C$22*H15</f>
        <v>8.8877931221406206E-2</v>
      </c>
      <c r="J15" s="95">
        <f t="shared" si="0"/>
        <v>8.4434034660335904</v>
      </c>
      <c r="K15" s="65">
        <v>0.02</v>
      </c>
      <c r="L15" s="61">
        <f t="shared" si="4"/>
        <v>26479.599999999999</v>
      </c>
      <c r="M15" s="60">
        <f>$AB$2*(2-L15/MIN(L$15:L$17))</f>
        <v>65</v>
      </c>
      <c r="N15" s="60">
        <f t="shared" si="5"/>
        <v>95</v>
      </c>
      <c r="O15" s="42">
        <v>1</v>
      </c>
      <c r="P15" s="26">
        <f t="shared" si="6"/>
        <v>8.8877931221406206E-2</v>
      </c>
      <c r="Q15" s="27">
        <f t="shared" si="19"/>
        <v>8.4434034660335904</v>
      </c>
      <c r="R15" s="65"/>
      <c r="S15" s="61">
        <f t="shared" si="7"/>
        <v>27020</v>
      </c>
      <c r="T15" s="60">
        <f>$AB$2*(2-S15/MIN(S$15:S$17))</f>
        <v>65</v>
      </c>
      <c r="U15" s="60">
        <f t="shared" si="8"/>
        <v>95</v>
      </c>
      <c r="V15" s="42"/>
      <c r="W15" s="26">
        <f t="shared" si="15"/>
        <v>0</v>
      </c>
      <c r="X15" s="27"/>
      <c r="Y15" s="65"/>
      <c r="Z15" s="61">
        <f t="shared" si="11"/>
        <v>27020</v>
      </c>
      <c r="AA15" s="60">
        <f>$AB$2*(2-Z15/MIN(Z$15:Z$17))</f>
        <v>65</v>
      </c>
      <c r="AB15" s="102">
        <f t="shared" si="12"/>
        <v>95</v>
      </c>
      <c r="AC15" s="42"/>
      <c r="AD15" s="26">
        <f t="shared" si="17"/>
        <v>0</v>
      </c>
      <c r="AE15" s="27">
        <f t="shared" si="18"/>
        <v>0</v>
      </c>
    </row>
    <row r="16" spans="1:31" s="3" customFormat="1" ht="35.15" customHeight="1" x14ac:dyDescent="0.2">
      <c r="A16" s="169"/>
      <c r="B16" s="70" t="s">
        <v>29</v>
      </c>
      <c r="C16" s="68">
        <v>27217</v>
      </c>
      <c r="D16" s="157">
        <v>21</v>
      </c>
      <c r="E16" s="23">
        <v>27216</v>
      </c>
      <c r="F16" s="21">
        <f>$AB$2*(2-E16/MIN(E$15:E$17))</f>
        <v>64.528497409326434</v>
      </c>
      <c r="G16" s="76">
        <f t="shared" si="14"/>
        <v>85.528497409326434</v>
      </c>
      <c r="H16" s="44"/>
      <c r="I16" s="45">
        <f t="shared" si="20"/>
        <v>0</v>
      </c>
      <c r="J16" s="29"/>
      <c r="K16" s="47"/>
      <c r="L16" s="98">
        <f t="shared" si="4"/>
        <v>27216</v>
      </c>
      <c r="M16" s="21">
        <f>$AB$2*(2-L16/MIN(L$15:L$17))</f>
        <v>63.192344295231052</v>
      </c>
      <c r="N16" s="21">
        <f t="shared" si="5"/>
        <v>84.192344295231052</v>
      </c>
      <c r="O16" s="48"/>
      <c r="P16" s="28">
        <f t="shared" si="6"/>
        <v>0</v>
      </c>
      <c r="Q16" s="29"/>
      <c r="R16" s="47"/>
      <c r="S16" s="98">
        <f t="shared" si="7"/>
        <v>27216</v>
      </c>
      <c r="T16" s="21">
        <f>$AB$2*(2-S16/MIN(S$15:S$17))</f>
        <v>64.528497409326434</v>
      </c>
      <c r="U16" s="21">
        <f t="shared" si="8"/>
        <v>85.528497409326434</v>
      </c>
      <c r="V16" s="104">
        <v>1</v>
      </c>
      <c r="W16" s="28">
        <f t="shared" si="15"/>
        <v>8.8877931221406206E-2</v>
      </c>
      <c r="X16" s="29">
        <f t="shared" si="16"/>
        <v>7.601595910216334</v>
      </c>
      <c r="Y16" s="47"/>
      <c r="Z16" s="98">
        <f t="shared" si="11"/>
        <v>27216</v>
      </c>
      <c r="AA16" s="21">
        <f>$AB$2*(2-Z16/MIN(Z$15:Z$17))</f>
        <v>64.528497409326434</v>
      </c>
      <c r="AB16" s="39">
        <f t="shared" si="12"/>
        <v>85.528497409326434</v>
      </c>
      <c r="AC16" s="32"/>
      <c r="AD16" s="28">
        <f t="shared" si="17"/>
        <v>0</v>
      </c>
      <c r="AE16" s="29">
        <f t="shared" si="18"/>
        <v>0</v>
      </c>
    </row>
    <row r="17" spans="1:31" s="3" customFormat="1" ht="35.15" customHeight="1" thickBot="1" x14ac:dyDescent="0.25">
      <c r="A17" s="169"/>
      <c r="B17" s="71" t="s">
        <v>30</v>
      </c>
      <c r="C17" s="68">
        <v>27217</v>
      </c>
      <c r="D17" s="157">
        <v>21</v>
      </c>
      <c r="E17" s="49">
        <v>27216</v>
      </c>
      <c r="F17" s="75">
        <f>$AB$2*(2-E17/MIN(E$15:E$17))</f>
        <v>64.528497409326434</v>
      </c>
      <c r="G17" s="76">
        <f>D17+F17</f>
        <v>85.528497409326434</v>
      </c>
      <c r="H17" s="86"/>
      <c r="I17" s="85">
        <f t="shared" si="20"/>
        <v>0</v>
      </c>
      <c r="J17" s="100"/>
      <c r="K17" s="47"/>
      <c r="L17" s="97">
        <f t="shared" si="4"/>
        <v>27216</v>
      </c>
      <c r="M17" s="83">
        <f>$AB$2*(2-L17/MIN(L$15:L$17))</f>
        <v>63.192344295231052</v>
      </c>
      <c r="N17" s="73">
        <f t="shared" si="5"/>
        <v>84.192344295231052</v>
      </c>
      <c r="O17" s="50"/>
      <c r="P17" s="94">
        <f t="shared" si="6"/>
        <v>0</v>
      </c>
      <c r="Q17" s="93">
        <f t="shared" si="19"/>
        <v>0</v>
      </c>
      <c r="R17" s="47"/>
      <c r="S17" s="97">
        <f t="shared" si="7"/>
        <v>27216</v>
      </c>
      <c r="T17" s="83">
        <f>$AB$2*(2-S17/MIN(S$15:S$17))</f>
        <v>64.528497409326434</v>
      </c>
      <c r="U17" s="73">
        <f t="shared" si="8"/>
        <v>85.528497409326434</v>
      </c>
      <c r="V17" s="50"/>
      <c r="W17" s="94">
        <f t="shared" si="15"/>
        <v>0</v>
      </c>
      <c r="X17" s="93"/>
      <c r="Y17" s="47">
        <v>0</v>
      </c>
      <c r="Z17" s="97">
        <f t="shared" si="11"/>
        <v>27216</v>
      </c>
      <c r="AA17" s="83">
        <f>$AB$2*(2-Z17/MIN(Z$15:Z$17))</f>
        <v>64.528497409326434</v>
      </c>
      <c r="AB17" s="143">
        <f t="shared" si="12"/>
        <v>85.528497409326434</v>
      </c>
      <c r="AC17" s="104">
        <v>1</v>
      </c>
      <c r="AD17" s="94">
        <f t="shared" si="17"/>
        <v>8.8877931221406206E-2</v>
      </c>
      <c r="AE17" s="93">
        <f t="shared" si="18"/>
        <v>7.601595910216334</v>
      </c>
    </row>
    <row r="18" spans="1:31" s="3" customFormat="1" ht="35.15" customHeight="1" x14ac:dyDescent="0.2">
      <c r="A18" s="168" t="s">
        <v>26</v>
      </c>
      <c r="B18" s="69" t="s">
        <v>28</v>
      </c>
      <c r="C18" s="59">
        <v>9155</v>
      </c>
      <c r="D18" s="78">
        <v>10</v>
      </c>
      <c r="E18" s="90">
        <v>8932</v>
      </c>
      <c r="F18" s="87">
        <f>85*(2-E18/MIN(E$18:E$20))</f>
        <v>83.955072402995185</v>
      </c>
      <c r="G18" s="74">
        <f t="shared" si="14"/>
        <v>93.955072402995185</v>
      </c>
      <c r="H18" s="62">
        <v>1</v>
      </c>
      <c r="I18" s="45">
        <f t="shared" si="20"/>
        <v>2.9895927557481494E-2</v>
      </c>
      <c r="J18" s="95">
        <f t="shared" si="0"/>
        <v>2.8088740382178727</v>
      </c>
      <c r="K18" s="33">
        <v>0.01</v>
      </c>
      <c r="L18" s="61">
        <f t="shared" si="4"/>
        <v>8842.68</v>
      </c>
      <c r="M18" s="102">
        <f>85*(2-L18/MIN(L$18:L$20))</f>
        <v>84.815521678965226</v>
      </c>
      <c r="N18" s="20">
        <f t="shared" si="5"/>
        <v>94.815521678965226</v>
      </c>
      <c r="O18" s="42">
        <v>1</v>
      </c>
      <c r="P18" s="26">
        <f t="shared" si="6"/>
        <v>2.9895927557481494E-2</v>
      </c>
      <c r="Q18" s="27">
        <f t="shared" si="19"/>
        <v>2.8345979674391604</v>
      </c>
      <c r="R18" s="33"/>
      <c r="S18" s="61">
        <f t="shared" si="7"/>
        <v>8932</v>
      </c>
      <c r="T18" s="102">
        <f>85*(2-S18/MIN(S$18:S$20))</f>
        <v>83.955072402995185</v>
      </c>
      <c r="U18" s="60">
        <f t="shared" si="8"/>
        <v>93.955072402995185</v>
      </c>
      <c r="V18" s="25"/>
      <c r="W18" s="26">
        <f t="shared" si="15"/>
        <v>0</v>
      </c>
      <c r="X18" s="27"/>
      <c r="Y18" s="33"/>
      <c r="Z18" s="61">
        <f t="shared" si="11"/>
        <v>8932</v>
      </c>
      <c r="AA18" s="102">
        <f>85*(2-Z18/MIN(Z$18:Z$20))</f>
        <v>80.369867086453311</v>
      </c>
      <c r="AB18" s="102">
        <f t="shared" si="12"/>
        <v>90.369867086453311</v>
      </c>
      <c r="AC18" s="25"/>
      <c r="AD18" s="26">
        <f t="shared" si="17"/>
        <v>0</v>
      </c>
      <c r="AE18" s="27">
        <f t="shared" si="18"/>
        <v>0</v>
      </c>
    </row>
    <row r="19" spans="1:31" s="3" customFormat="1" ht="35.15" customHeight="1" x14ac:dyDescent="0.2">
      <c r="A19" s="169"/>
      <c r="B19" s="71" t="s">
        <v>30</v>
      </c>
      <c r="C19" s="68">
        <v>9155</v>
      </c>
      <c r="D19" s="79">
        <v>5</v>
      </c>
      <c r="E19" s="91">
        <v>8823.5300000000007</v>
      </c>
      <c r="F19" s="88">
        <f t="shared" ref="F19" si="21">85*(2-E19/MIN(E$18:E$20))</f>
        <v>85</v>
      </c>
      <c r="G19" s="76">
        <f t="shared" si="14"/>
        <v>90</v>
      </c>
      <c r="H19" s="44"/>
      <c r="I19" s="45">
        <f t="shared" si="20"/>
        <v>0</v>
      </c>
      <c r="J19" s="29"/>
      <c r="K19" s="47"/>
      <c r="L19" s="98">
        <f t="shared" si="4"/>
        <v>8823.5300000000007</v>
      </c>
      <c r="M19" s="39">
        <f t="shared" ref="M19" si="22">85*(2-L19/MIN(L$18:L$20))</f>
        <v>85</v>
      </c>
      <c r="N19" s="21">
        <f t="shared" si="5"/>
        <v>90</v>
      </c>
      <c r="O19" s="50"/>
      <c r="P19" s="28">
        <f t="shared" si="6"/>
        <v>0</v>
      </c>
      <c r="Q19" s="29"/>
      <c r="R19" s="47"/>
      <c r="S19" s="98">
        <f t="shared" si="7"/>
        <v>8823.5300000000007</v>
      </c>
      <c r="T19" s="39">
        <f t="shared" ref="T19" si="23">85*(2-S19/MIN(S$18:S$20))</f>
        <v>85</v>
      </c>
      <c r="U19" s="21">
        <f t="shared" si="8"/>
        <v>90</v>
      </c>
      <c r="V19" s="104">
        <v>1</v>
      </c>
      <c r="W19" s="28">
        <f t="shared" si="15"/>
        <v>2.9895927557481494E-2</v>
      </c>
      <c r="X19" s="29">
        <f t="shared" si="16"/>
        <v>2.6906334801733345</v>
      </c>
      <c r="Y19" s="47">
        <v>0.04</v>
      </c>
      <c r="Z19" s="98">
        <f t="shared" si="11"/>
        <v>8470.5887999999995</v>
      </c>
      <c r="AA19" s="39">
        <f t="shared" ref="AA19" si="24">85*(2-Z19/MIN(Z$18:Z$20))</f>
        <v>85</v>
      </c>
      <c r="AB19" s="39">
        <f t="shared" si="12"/>
        <v>90</v>
      </c>
      <c r="AC19" s="104">
        <v>1</v>
      </c>
      <c r="AD19" s="28">
        <f t="shared" si="17"/>
        <v>2.9895927557481494E-2</v>
      </c>
      <c r="AE19" s="29">
        <f t="shared" si="18"/>
        <v>2.6906334801733345</v>
      </c>
    </row>
    <row r="20" spans="1:31" s="3" customFormat="1" ht="35.15" customHeight="1" thickBot="1" x14ac:dyDescent="0.25">
      <c r="A20" s="169"/>
      <c r="B20" s="71" t="s">
        <v>31</v>
      </c>
      <c r="C20" s="77">
        <v>9155</v>
      </c>
      <c r="D20" s="80">
        <v>5</v>
      </c>
      <c r="E20" s="92">
        <v>9019.1</v>
      </c>
      <c r="F20" s="89">
        <f>85*(2-E20/MIN(E$18:E$20))</f>
        <v>83.116009125599405</v>
      </c>
      <c r="G20" s="73">
        <f t="shared" si="14"/>
        <v>88.116009125599405</v>
      </c>
      <c r="H20" s="44"/>
      <c r="I20" s="85">
        <f t="shared" si="20"/>
        <v>0</v>
      </c>
      <c r="J20" s="93"/>
      <c r="K20" s="47"/>
      <c r="L20" s="97">
        <f t="shared" si="4"/>
        <v>9019.1</v>
      </c>
      <c r="M20" s="103">
        <f>85*(2-L20/MIN(L$18:L$20))</f>
        <v>83.116009125599405</v>
      </c>
      <c r="N20" s="73">
        <f t="shared" si="5"/>
        <v>88.116009125599405</v>
      </c>
      <c r="O20" s="48"/>
      <c r="P20" s="94">
        <f t="shared" si="6"/>
        <v>0</v>
      </c>
      <c r="Q20" s="93"/>
      <c r="R20" s="47"/>
      <c r="S20" s="97">
        <f t="shared" si="7"/>
        <v>9019.1</v>
      </c>
      <c r="T20" s="103">
        <f>85*(2-S20/MIN(S$18:S$20))</f>
        <v>83.116009125599405</v>
      </c>
      <c r="U20" s="73">
        <f t="shared" si="8"/>
        <v>88.116009125599405</v>
      </c>
      <c r="V20" s="48"/>
      <c r="W20" s="94">
        <f t="shared" si="15"/>
        <v>0</v>
      </c>
      <c r="X20" s="93"/>
      <c r="Y20" s="47"/>
      <c r="Z20" s="97">
        <f t="shared" si="11"/>
        <v>9019.1</v>
      </c>
      <c r="AA20" s="103">
        <f>85*(2-Z20/MIN(Z$18:Z$20))</f>
        <v>79.495842839166016</v>
      </c>
      <c r="AB20" s="143">
        <f t="shared" si="12"/>
        <v>84.495842839166016</v>
      </c>
      <c r="AC20" s="105"/>
      <c r="AD20" s="94">
        <f t="shared" si="17"/>
        <v>0</v>
      </c>
      <c r="AE20" s="93">
        <f t="shared" si="18"/>
        <v>0</v>
      </c>
    </row>
    <row r="21" spans="1:31" s="3" customFormat="1" ht="35.15" customHeight="1" thickBot="1" x14ac:dyDescent="0.25">
      <c r="A21" s="51" t="s">
        <v>27</v>
      </c>
      <c r="B21" s="82" t="s">
        <v>33</v>
      </c>
      <c r="C21" s="81">
        <v>12835</v>
      </c>
      <c r="D21" s="54">
        <v>0</v>
      </c>
      <c r="E21" s="55">
        <v>12800</v>
      </c>
      <c r="F21" s="56">
        <f>85*(2-E21/MIN(E$21))</f>
        <v>85</v>
      </c>
      <c r="G21" s="96">
        <f t="shared" si="14"/>
        <v>85</v>
      </c>
      <c r="H21" s="57">
        <v>1</v>
      </c>
      <c r="I21" s="94">
        <f t="shared" si="20"/>
        <v>4.1913078121275253E-2</v>
      </c>
      <c r="J21" s="27">
        <f t="shared" si="0"/>
        <v>3.5626116403083965</v>
      </c>
      <c r="K21" s="58"/>
      <c r="L21" s="55">
        <f t="shared" si="4"/>
        <v>12800</v>
      </c>
      <c r="M21" s="56">
        <f>85*(2-L21/MIN(L$21))</f>
        <v>85</v>
      </c>
      <c r="N21" s="56">
        <f t="shared" si="5"/>
        <v>85</v>
      </c>
      <c r="O21" s="107">
        <v>1</v>
      </c>
      <c r="P21" s="26">
        <f t="shared" si="6"/>
        <v>4.1913078121275253E-2</v>
      </c>
      <c r="Q21" s="27">
        <f t="shared" si="19"/>
        <v>3.5626116403083965</v>
      </c>
      <c r="R21" s="58"/>
      <c r="S21" s="55">
        <f t="shared" si="7"/>
        <v>12800</v>
      </c>
      <c r="T21" s="56">
        <f>85*(2-S21/MIN(S$21))</f>
        <v>85</v>
      </c>
      <c r="U21" s="56">
        <f t="shared" si="8"/>
        <v>85</v>
      </c>
      <c r="V21" s="107">
        <v>1</v>
      </c>
      <c r="W21" s="26">
        <f t="shared" si="15"/>
        <v>4.1913078121275253E-2</v>
      </c>
      <c r="X21" s="27">
        <f t="shared" si="16"/>
        <v>3.5626116403083965</v>
      </c>
      <c r="Y21" s="58"/>
      <c r="Z21" s="55">
        <f t="shared" si="11"/>
        <v>12800</v>
      </c>
      <c r="AA21" s="56">
        <f>85*(2-Z21/MIN(Z$21))</f>
        <v>85</v>
      </c>
      <c r="AB21" s="142">
        <f t="shared" si="12"/>
        <v>85</v>
      </c>
      <c r="AC21" s="107">
        <v>1</v>
      </c>
      <c r="AD21" s="26">
        <f t="shared" si="17"/>
        <v>4.1913078121275253E-2</v>
      </c>
      <c r="AE21" s="27">
        <f t="shared" si="18"/>
        <v>3.5626116403083965</v>
      </c>
    </row>
    <row r="22" spans="1:31" ht="51.65" customHeight="1" thickBot="1" x14ac:dyDescent="0.3">
      <c r="B22" s="147" t="s">
        <v>12</v>
      </c>
      <c r="C22" s="53">
        <f>C11+C14+C17+C20+C21</f>
        <v>306229</v>
      </c>
      <c r="I22" s="101" t="s">
        <v>13</v>
      </c>
      <c r="J22" s="36">
        <f>SUM(J9:J21)</f>
        <v>90.445422761050267</v>
      </c>
      <c r="P22" s="35" t="s">
        <v>13</v>
      </c>
      <c r="Q22" s="106">
        <f>SUM(Q9:Q21)</f>
        <v>91.265971303300105</v>
      </c>
      <c r="W22" s="35" t="s">
        <v>13</v>
      </c>
      <c r="X22" s="36">
        <f>SUM(X9:X21)</f>
        <v>86.007545472003017</v>
      </c>
      <c r="AD22" s="35" t="s">
        <v>13</v>
      </c>
      <c r="AE22" s="36">
        <f>SUM(AE9:AE21)</f>
        <v>87.116811647458718</v>
      </c>
    </row>
    <row r="23" spans="1:31" ht="13.5" customHeight="1" x14ac:dyDescent="0.25">
      <c r="S23" s="148"/>
      <c r="T23" s="148"/>
    </row>
    <row r="24" spans="1:31" x14ac:dyDescent="0.25">
      <c r="M24" s="148"/>
      <c r="Z24" s="148"/>
    </row>
    <row r="25" spans="1:31" ht="14" x14ac:dyDescent="0.3">
      <c r="A25" s="1" t="s">
        <v>2</v>
      </c>
    </row>
    <row r="26" spans="1:31" ht="14" x14ac:dyDescent="0.3">
      <c r="A26" s="40" t="s">
        <v>36</v>
      </c>
    </row>
    <row r="28" spans="1:31" ht="56.25" customHeight="1" x14ac:dyDescent="0.25">
      <c r="A28" s="178"/>
      <c r="B28" s="178"/>
      <c r="C28" s="178"/>
      <c r="D28" s="178"/>
      <c r="E28" s="178"/>
      <c r="F28" s="178"/>
      <c r="G28" s="178"/>
    </row>
  </sheetData>
  <mergeCells count="14">
    <mergeCell ref="Y7:AE7"/>
    <mergeCell ref="C12:J12"/>
    <mergeCell ref="R7:X7"/>
    <mergeCell ref="A28:G28"/>
    <mergeCell ref="E7:J7"/>
    <mergeCell ref="K7:Q7"/>
    <mergeCell ref="A15:A17"/>
    <mergeCell ref="A18:A20"/>
    <mergeCell ref="K12:Q12"/>
    <mergeCell ref="A3:Q3"/>
    <mergeCell ref="A4:Q4"/>
    <mergeCell ref="A5:Q5"/>
    <mergeCell ref="A9:A12"/>
    <mergeCell ref="A13:A1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 </vt:lpstr>
      <vt:lpstr>valoración</vt:lpstr>
      <vt:lpstr>'ALTERNATIVA ADJUDICADA 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2024-02-01T17:00:31Z</dcterms:modified>
</cp:coreProperties>
</file>