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4\EXPEDIENTES COMITÉ\4. ADJUDICACION\S-03125-2024 - P. Haz - Docencia CFGS\4 Evaluación\"/>
    </mc:Choice>
  </mc:AlternateContent>
  <xr:revisionPtr revIDLastSave="0" documentId="8_{F135CCF7-E17E-4116-901B-953572AE666D}" xr6:coauthVersionLast="36" xr6:coauthVersionMax="36" xr10:uidLastSave="{00000000-0000-0000-0000-000000000000}"/>
  <bookViews>
    <workbookView xWindow="0" yWindow="0" windowWidth="20160" windowHeight="8837" tabRatio="752" activeTab="1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ADJUDICADA'!$A$1:$K$29</definedName>
    <definedName name="_xlnm.Print_Area" localSheetId="1">valoración!$A$2:$Q$25</definedName>
  </definedNames>
  <calcPr calcId="191029"/>
</workbook>
</file>

<file path=xl/calcChain.xml><?xml version="1.0" encoding="utf-8"?>
<calcChain xmlns="http://schemas.openxmlformats.org/spreadsheetml/2006/main">
  <c r="Q25" i="5" l="1"/>
  <c r="C21" i="6"/>
  <c r="E15" i="5" l="1"/>
  <c r="E14" i="5"/>
  <c r="R15" i="6"/>
  <c r="K23" i="6"/>
  <c r="K18" i="6"/>
  <c r="D23" i="6"/>
  <c r="C22" i="6"/>
  <c r="C20" i="6"/>
  <c r="C19" i="6"/>
  <c r="D18" i="6"/>
  <c r="C18" i="6"/>
  <c r="C17" i="6"/>
  <c r="D16" i="6"/>
  <c r="C16" i="6"/>
  <c r="K16" i="6" s="1"/>
  <c r="D15" i="6"/>
  <c r="C15" i="6"/>
  <c r="K15" i="6" s="1"/>
  <c r="E22" i="5"/>
  <c r="F22" i="5" s="1"/>
  <c r="M22" i="5" s="1"/>
  <c r="D22" i="5"/>
  <c r="D17" i="5"/>
  <c r="E17" i="5"/>
  <c r="F17" i="5" s="1"/>
  <c r="M17" i="5" s="1"/>
  <c r="D15" i="5"/>
  <c r="D14" i="5"/>
  <c r="E12" i="5"/>
  <c r="E10" i="5"/>
  <c r="E9" i="5"/>
  <c r="C21" i="5"/>
  <c r="C20" i="5"/>
  <c r="C19" i="5"/>
  <c r="C18" i="5"/>
  <c r="C17" i="5"/>
  <c r="C16" i="5"/>
  <c r="C15" i="5"/>
  <c r="C14" i="5"/>
  <c r="C13" i="5"/>
  <c r="C12" i="5"/>
  <c r="C9" i="5"/>
  <c r="C25" i="5" s="1"/>
  <c r="C10" i="5" l="1"/>
  <c r="C11" i="5" s="1"/>
  <c r="L22" i="5"/>
  <c r="G22" i="5"/>
  <c r="L17" i="5"/>
  <c r="G17" i="5"/>
  <c r="C14" i="6"/>
  <c r="B14" i="6"/>
  <c r="C13" i="6"/>
  <c r="B13" i="6"/>
  <c r="C12" i="6"/>
  <c r="B12" i="6"/>
  <c r="C11" i="6"/>
  <c r="B11" i="6"/>
  <c r="C10" i="6"/>
  <c r="B10" i="6"/>
  <c r="A13" i="6"/>
  <c r="A10" i="6"/>
  <c r="C26" i="6" l="1"/>
  <c r="K10" i="6"/>
  <c r="A5" i="6" l="1"/>
  <c r="A4" i="6"/>
  <c r="L15" i="5" l="1"/>
  <c r="F15" i="5"/>
  <c r="G15" i="5" s="1"/>
  <c r="L14" i="5"/>
  <c r="F14" i="5"/>
  <c r="G14" i="5" s="1"/>
  <c r="L12" i="5"/>
  <c r="F12" i="5"/>
  <c r="G12" i="5" s="1"/>
  <c r="K11" i="6"/>
  <c r="L10" i="5"/>
  <c r="F10" i="5"/>
  <c r="G10" i="5" s="1"/>
  <c r="L9" i="5"/>
  <c r="F9" i="5"/>
  <c r="G9" i="5" s="1"/>
  <c r="N22" i="5" l="1"/>
  <c r="N17" i="5"/>
  <c r="P15" i="5"/>
  <c r="P17" i="5"/>
  <c r="P22" i="5"/>
  <c r="I22" i="5"/>
  <c r="J22" i="5" s="1"/>
  <c r="I17" i="5"/>
  <c r="J17" i="5" s="1"/>
  <c r="M12" i="5"/>
  <c r="N12" i="5" s="1"/>
  <c r="K13" i="6"/>
  <c r="M14" i="5"/>
  <c r="N14" i="5" s="1"/>
  <c r="M15" i="5"/>
  <c r="N15" i="5" s="1"/>
  <c r="M9" i="5"/>
  <c r="N9" i="5" s="1"/>
  <c r="M10" i="5"/>
  <c r="N10" i="5" s="1"/>
  <c r="I14" i="5"/>
  <c r="J14" i="5" s="1"/>
  <c r="P9" i="5"/>
  <c r="I12" i="5"/>
  <c r="J12" i="5" s="1"/>
  <c r="P10" i="5"/>
  <c r="I9" i="5"/>
  <c r="J9" i="5" s="1"/>
  <c r="J25" i="5" s="1"/>
  <c r="P14" i="5"/>
  <c r="I10" i="5"/>
  <c r="P12" i="5"/>
  <c r="Q15" i="5" l="1"/>
  <c r="Q17" i="5"/>
  <c r="Q12" i="5"/>
  <c r="Q22" i="5"/>
  <c r="Q10" i="5"/>
  <c r="Q14" i="5"/>
  <c r="Q9" i="5"/>
</calcChain>
</file>

<file path=xl/sharedStrings.xml><?xml version="1.0" encoding="utf-8"?>
<sst xmlns="http://schemas.openxmlformats.org/spreadsheetml/2006/main" count="133" uniqueCount="45">
  <si>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</si>
  <si>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</si>
  <si>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</si>
  <si>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</si>
  <si>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</si>
  <si>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</si>
  <si>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</si>
  <si>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</si>
  <si>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</si>
  <si>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</si>
  <si>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</si>
  <si>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</si>
  <si>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</si>
  <si>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</si>
  <si>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</si>
  <si>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</si>
  <si>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</si>
  <si>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</si>
  <si>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</si>
  <si>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</si>
  <si>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Importe Oferta (Contrato + prorroga/s)</t>
  </si>
  <si>
    <t>%  Ahorro s/ licitación</t>
  </si>
  <si>
    <t>LOTE 1:Tutorización presencial de ciclo</t>
  </si>
  <si>
    <t>LOTE 2: Docentes especialistas módulo empleabilidad I</t>
  </si>
  <si>
    <t>ALFREDO CORDERO MARCOS</t>
  </si>
  <si>
    <t>ANDREU FULLANA ARIAS</t>
  </si>
  <si>
    <t>UNIVERSO MEDIA TECH S.L.</t>
  </si>
  <si>
    <t>SMIZ &amp; PIXEL S.L.</t>
  </si>
  <si>
    <t>LOTE 3:Docentes especialistas de PPA</t>
  </si>
  <si>
    <t>LOTE 4:Docentes especialistas módulo PPE</t>
  </si>
  <si>
    <t>ANA GIL PÉREZ</t>
  </si>
  <si>
    <t>LOTE 6:	Docentes especialistas módulo REA</t>
  </si>
  <si>
    <t>Valor estimado    Contrato + prórroga         (Sin modificación)</t>
  </si>
  <si>
    <t>-</t>
  </si>
  <si>
    <t xml:space="preserve">EXCLUIDA / INADMITIDA: </t>
  </si>
  <si>
    <t>No dispone de solvencias técnicas</t>
  </si>
  <si>
    <t>Alternativa 2: oferta conjunta "SMIZ&amp;PIXEL SL" por los lotes 3 y 6 (3% de descuento)</t>
  </si>
  <si>
    <t>Madrid, a 24 de julio de 2024</t>
  </si>
  <si>
    <t>"PROYECTO HAZ - DOCENCIA CFGS PRODUCCIÓN AUDIOVISUALES Y ESPECTÁCULOS"</t>
  </si>
  <si>
    <t>VALORACIÓN PONDERADA DE LAS OFERTAS PRESENTADAS AL EXPEDIENTE S-03125-2024</t>
  </si>
  <si>
    <t>PROPUESTA DE ADJUDICACIÓN DEL EXPEDIENTE S-03125-2024</t>
  </si>
  <si>
    <t>Junto a la oferta adminsitrativa, incluye las propuestas que se tienen que valorar con criterios automáticos: técnicos y económicos.</t>
  </si>
  <si>
    <t>DESIERTO</t>
  </si>
  <si>
    <t>LOTE 5: Docentes especialistas módulo MTA</t>
  </si>
  <si>
    <t>LOTE 5:Docentes especialistas módulo MTA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</si>
</sst>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3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Tahoma"/>
      <family val="2"/>
    </font>
    <font>
      <sz val="10"/>
      <name val="Calibri"/>
      <family val="2"/>
    </font>
    <font>
      <b/>
      <sz val="1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45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0" fontId="16" fillId="0" borderId="25" xfId="0" applyNumberFormat="1" applyFont="1" applyFill="1" applyBorder="1" applyAlignment="1">
      <alignment horizontal="left" vertical="top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6" fillId="4" borderId="7" xfId="0" applyNumberFormat="1" applyFont="1" applyFill="1" applyBorder="1" applyAlignment="1">
      <alignment horizontal="center" vertical="center" wrapText="1"/>
    </xf>
    <xf numFmtId="166" fontId="6" fillId="4" borderId="2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vertical="center" wrapText="1"/>
    </xf>
    <xf numFmtId="0" fontId="9" fillId="4" borderId="22" xfId="0" applyNumberFormat="1" applyFont="1" applyFill="1" applyBorder="1" applyAlignment="1">
      <alignment horizontal="right" vertical="center" wrapText="1"/>
    </xf>
    <xf numFmtId="166" fontId="17" fillId="4" borderId="22" xfId="0" applyNumberFormat="1" applyFont="1" applyFill="1" applyBorder="1" applyAlignment="1">
      <alignment horizontal="center" vertical="center"/>
    </xf>
    <xf numFmtId="0" fontId="3" fillId="4" borderId="0" xfId="0" applyFont="1" applyFill="1" applyBorder="1"/>
    <xf numFmtId="0" fontId="5" fillId="4" borderId="6" xfId="0" applyFont="1" applyFill="1" applyBorder="1"/>
    <xf numFmtId="0" fontId="6" fillId="4" borderId="31" xfId="0" applyNumberFormat="1" applyFont="1" applyFill="1" applyBorder="1" applyAlignment="1">
      <alignment horizontal="center" vertical="center" wrapText="1"/>
    </xf>
    <xf numFmtId="166" fontId="6" fillId="4" borderId="32" xfId="0" applyNumberFormat="1" applyFont="1" applyFill="1" applyBorder="1" applyAlignment="1">
      <alignment horizontal="center" vertical="center"/>
    </xf>
    <xf numFmtId="4" fontId="6" fillId="0" borderId="27" xfId="0" applyNumberFormat="1" applyFont="1" applyFill="1" applyBorder="1" applyAlignment="1">
      <alignment horizontal="center" vertical="center"/>
    </xf>
    <xf numFmtId="4" fontId="6" fillId="0" borderId="28" xfId="0" applyNumberFormat="1" applyFont="1" applyFill="1" applyBorder="1" applyAlignment="1">
      <alignment horizontal="center" vertical="center"/>
    </xf>
    <xf numFmtId="4" fontId="6" fillId="0" borderId="29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vertical="top" wrapText="1"/>
    </xf>
    <xf numFmtId="4" fontId="6" fillId="0" borderId="14" xfId="0" applyNumberFormat="1" applyFont="1" applyFill="1" applyBorder="1" applyAlignment="1">
      <alignment horizontal="right" vertical="center" indent="1"/>
    </xf>
    <xf numFmtId="0" fontId="9" fillId="0" borderId="3" xfId="0" applyNumberFormat="1" applyFont="1" applyFill="1" applyBorder="1" applyAlignment="1">
      <alignment horizontal="right" vertical="center" wrapText="1"/>
    </xf>
    <xf numFmtId="166" fontId="17" fillId="0" borderId="3" xfId="0" applyNumberFormat="1" applyFont="1" applyFill="1" applyBorder="1" applyAlignment="1">
      <alignment horizontal="center" vertical="center"/>
    </xf>
    <xf numFmtId="0" fontId="6" fillId="3" borderId="18" xfId="0" applyNumberFormat="1" applyFont="1" applyFill="1" applyBorder="1" applyAlignment="1">
      <alignment horizontal="center" vertical="center" wrapText="1"/>
    </xf>
    <xf numFmtId="166" fontId="6" fillId="3" borderId="32" xfId="0" applyNumberFormat="1" applyFont="1" applyFill="1" applyBorder="1" applyAlignment="1">
      <alignment horizontal="center" vertical="center"/>
    </xf>
    <xf numFmtId="4" fontId="6" fillId="3" borderId="20" xfId="0" applyNumberFormat="1" applyFont="1" applyFill="1" applyBorder="1" applyAlignment="1">
      <alignment horizontal="center" vertical="center"/>
    </xf>
    <xf numFmtId="166" fontId="20" fillId="3" borderId="18" xfId="0" applyNumberFormat="1" applyFont="1" applyFill="1" applyBorder="1" applyAlignment="1">
      <alignment horizontal="right" vertical="center" wrapText="1" indent="1"/>
    </xf>
    <xf numFmtId="0" fontId="6" fillId="3" borderId="7" xfId="0" applyNumberFormat="1" applyFont="1" applyFill="1" applyBorder="1" applyAlignment="1">
      <alignment horizontal="center" vertical="center" wrapText="1"/>
    </xf>
    <xf numFmtId="166" fontId="6" fillId="3" borderId="2" xfId="0" applyNumberFormat="1" applyFont="1" applyFill="1" applyBorder="1" applyAlignment="1">
      <alignment horizontal="center" vertical="center"/>
    </xf>
    <xf numFmtId="4" fontId="6" fillId="3" borderId="14" xfId="0" applyNumberFormat="1" applyFont="1" applyFill="1" applyBorder="1" applyAlignment="1">
      <alignment horizontal="center" vertical="center"/>
    </xf>
    <xf numFmtId="166" fontId="6" fillId="3" borderId="19" xfId="0" applyNumberFormat="1" applyFont="1" applyFill="1" applyBorder="1" applyAlignment="1">
      <alignment horizontal="center" vertical="center"/>
    </xf>
    <xf numFmtId="4" fontId="6" fillId="3" borderId="35" xfId="0" applyNumberFormat="1" applyFont="1" applyFill="1" applyBorder="1" applyAlignment="1">
      <alignment horizontal="center" vertical="center"/>
    </xf>
    <xf numFmtId="166" fontId="20" fillId="3" borderId="7" xfId="0" applyNumberFormat="1" applyFont="1" applyFill="1" applyBorder="1" applyAlignment="1">
      <alignment horizontal="right" vertical="center" wrapText="1" indent="1"/>
    </xf>
    <xf numFmtId="4" fontId="6" fillId="3" borderId="38" xfId="0" applyNumberFormat="1" applyFont="1" applyFill="1" applyBorder="1" applyAlignment="1">
      <alignment horizontal="center" vertical="center"/>
    </xf>
    <xf numFmtId="166" fontId="20" fillId="3" borderId="15" xfId="0" applyNumberFormat="1" applyFont="1" applyFill="1" applyBorder="1" applyAlignment="1">
      <alignment horizontal="right" vertical="center" wrapText="1" indent="1"/>
    </xf>
    <xf numFmtId="0" fontId="6" fillId="3" borderId="11" xfId="0" applyNumberFormat="1" applyFont="1" applyFill="1" applyBorder="1" applyAlignment="1">
      <alignment horizontal="center" vertical="center" wrapText="1"/>
    </xf>
    <xf numFmtId="166" fontId="6" fillId="3" borderId="12" xfId="0" applyNumberFormat="1" applyFont="1" applyFill="1" applyBorder="1" applyAlignment="1">
      <alignment horizontal="center" vertical="center"/>
    </xf>
    <xf numFmtId="166" fontId="20" fillId="3" borderId="11" xfId="0" applyNumberFormat="1" applyFont="1" applyFill="1" applyBorder="1" applyAlignment="1">
      <alignment horizontal="right" vertical="center" wrapText="1" indent="1"/>
    </xf>
    <xf numFmtId="0" fontId="6" fillId="3" borderId="15" xfId="0" applyNumberFormat="1" applyFont="1" applyFill="1" applyBorder="1" applyAlignment="1">
      <alignment horizontal="center" vertical="center" wrapText="1"/>
    </xf>
    <xf numFmtId="166" fontId="6" fillId="3" borderId="16" xfId="0" applyNumberFormat="1" applyFont="1" applyFill="1" applyBorder="1" applyAlignment="1">
      <alignment horizontal="center" vertical="center"/>
    </xf>
    <xf numFmtId="4" fontId="6" fillId="3" borderId="17" xfId="0" applyNumberFormat="1" applyFont="1" applyFill="1" applyBorder="1" applyAlignment="1">
      <alignment horizontal="center" vertical="center"/>
    </xf>
    <xf numFmtId="164" fontId="9" fillId="0" borderId="26" xfId="2" applyFont="1" applyFill="1" applyBorder="1" applyAlignment="1">
      <alignment horizontal="center" vertical="center"/>
    </xf>
    <xf numFmtId="0" fontId="6" fillId="4" borderId="25" xfId="0" applyNumberFormat="1" applyFont="1" applyFill="1" applyBorder="1" applyAlignment="1">
      <alignment horizontal="center" vertical="center" wrapText="1"/>
    </xf>
    <xf numFmtId="166" fontId="6" fillId="4" borderId="40" xfId="0" applyNumberFormat="1" applyFont="1" applyFill="1" applyBorder="1" applyAlignment="1">
      <alignment horizontal="center" vertical="center"/>
    </xf>
    <xf numFmtId="166" fontId="20" fillId="3" borderId="25" xfId="0" applyNumberFormat="1" applyFont="1" applyFill="1" applyBorder="1" applyAlignment="1">
      <alignment horizontal="right" vertical="center" wrapText="1" indent="1"/>
    </xf>
    <xf numFmtId="164" fontId="5" fillId="0" borderId="35" xfId="2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 wrapText="1"/>
    </xf>
    <xf numFmtId="165" fontId="22" fillId="5" borderId="11" xfId="2" applyNumberFormat="1" applyFont="1" applyFill="1" applyBorder="1" applyAlignment="1">
      <alignment horizontal="center" vertical="center"/>
    </xf>
    <xf numFmtId="165" fontId="22" fillId="5" borderId="12" xfId="2" applyNumberFormat="1" applyFont="1" applyFill="1" applyBorder="1" applyAlignment="1">
      <alignment horizontal="center" vertical="center"/>
    </xf>
    <xf numFmtId="0" fontId="9" fillId="5" borderId="11" xfId="0" applyNumberFormat="1" applyFont="1" applyFill="1" applyBorder="1" applyAlignment="1">
      <alignment horizontal="center" vertical="center" wrapText="1"/>
    </xf>
    <xf numFmtId="4" fontId="9" fillId="5" borderId="13" xfId="0" applyNumberFormat="1" applyFont="1" applyFill="1" applyBorder="1" applyAlignment="1">
      <alignment horizontal="center" vertical="center"/>
    </xf>
    <xf numFmtId="166" fontId="9" fillId="5" borderId="11" xfId="0" applyNumberFormat="1" applyFont="1" applyFill="1" applyBorder="1" applyAlignment="1">
      <alignment horizontal="right" vertical="center" indent="1"/>
    </xf>
    <xf numFmtId="4" fontId="9" fillId="5" borderId="12" xfId="0" applyNumberFormat="1" applyFont="1" applyFill="1" applyBorder="1" applyAlignment="1">
      <alignment horizontal="right" vertical="center" indent="1"/>
    </xf>
    <xf numFmtId="10" fontId="22" fillId="5" borderId="12" xfId="0" applyNumberFormat="1" applyFont="1" applyFill="1" applyBorder="1" applyAlignment="1">
      <alignment horizontal="center" vertical="center"/>
    </xf>
    <xf numFmtId="164" fontId="22" fillId="5" borderId="13" xfId="2" applyFont="1" applyFill="1" applyBorder="1" applyAlignment="1">
      <alignment horizontal="center" vertical="center"/>
    </xf>
    <xf numFmtId="9" fontId="22" fillId="5" borderId="11" xfId="3" applyFont="1" applyFill="1" applyBorder="1" applyAlignment="1">
      <alignment horizontal="center" vertical="center"/>
    </xf>
    <xf numFmtId="166" fontId="9" fillId="5" borderId="12" xfId="0" applyNumberFormat="1" applyFont="1" applyFill="1" applyBorder="1" applyAlignment="1">
      <alignment horizontal="right" vertical="center" indent="1"/>
    </xf>
    <xf numFmtId="0" fontId="9" fillId="0" borderId="11" xfId="0" applyNumberFormat="1" applyFont="1" applyFill="1" applyBorder="1" applyAlignment="1">
      <alignment horizontal="center" vertical="center" wrapText="1"/>
    </xf>
    <xf numFmtId="166" fontId="9" fillId="0" borderId="34" xfId="0" applyNumberFormat="1" applyFont="1" applyFill="1" applyBorder="1" applyAlignment="1">
      <alignment horizontal="center" vertical="center"/>
    </xf>
    <xf numFmtId="4" fontId="9" fillId="0" borderId="13" xfId="0" applyNumberFormat="1" applyFont="1" applyFill="1" applyBorder="1" applyAlignment="1">
      <alignment horizontal="center" vertical="center"/>
    </xf>
    <xf numFmtId="166" fontId="9" fillId="0" borderId="12" xfId="0" applyNumberFormat="1" applyFont="1" applyFill="1" applyBorder="1" applyAlignment="1">
      <alignment horizontal="center" vertical="center"/>
    </xf>
    <xf numFmtId="4" fontId="9" fillId="5" borderId="13" xfId="0" applyNumberFormat="1" applyFont="1" applyFill="1" applyBorder="1" applyAlignment="1">
      <alignment horizontal="right" vertical="center" indent="1"/>
    </xf>
    <xf numFmtId="4" fontId="9" fillId="0" borderId="37" xfId="0" applyNumberFormat="1" applyFont="1" applyFill="1" applyBorder="1" applyAlignment="1">
      <alignment horizontal="center" vertical="center"/>
    </xf>
    <xf numFmtId="165" fontId="22" fillId="5" borderId="39" xfId="2" applyNumberFormat="1" applyFont="1" applyFill="1" applyBorder="1" applyAlignment="1">
      <alignment horizontal="center" vertical="center"/>
    </xf>
    <xf numFmtId="166" fontId="9" fillId="0" borderId="11" xfId="0" applyNumberFormat="1" applyFont="1" applyFill="1" applyBorder="1" applyAlignment="1">
      <alignment horizontal="right" vertical="center" indent="1"/>
    </xf>
    <xf numFmtId="164" fontId="22" fillId="0" borderId="26" xfId="2" applyFont="1" applyFill="1" applyBorder="1" applyAlignment="1">
      <alignment horizontal="center" vertical="center"/>
    </xf>
    <xf numFmtId="4" fontId="9" fillId="5" borderId="37" xfId="0" applyNumberFormat="1" applyFont="1" applyFill="1" applyBorder="1" applyAlignment="1">
      <alignment horizontal="right" vertical="center" indent="1"/>
    </xf>
    <xf numFmtId="9" fontId="22" fillId="5" borderId="7" xfId="3" applyFont="1" applyFill="1" applyBorder="1" applyAlignment="1">
      <alignment horizontal="center" vertical="center"/>
    </xf>
    <xf numFmtId="166" fontId="9" fillId="5" borderId="2" xfId="0" applyNumberFormat="1" applyFont="1" applyFill="1" applyBorder="1" applyAlignment="1">
      <alignment horizontal="right" vertical="center" indent="1"/>
    </xf>
    <xf numFmtId="4" fontId="9" fillId="5" borderId="2" xfId="0" applyNumberFormat="1" applyFont="1" applyFill="1" applyBorder="1" applyAlignment="1">
      <alignment horizontal="right" vertical="center" indent="1"/>
    </xf>
    <xf numFmtId="165" fontId="22" fillId="5" borderId="2" xfId="2" applyNumberFormat="1" applyFont="1" applyFill="1" applyBorder="1" applyAlignment="1">
      <alignment horizontal="center" vertical="center"/>
    </xf>
    <xf numFmtId="10" fontId="22" fillId="5" borderId="2" xfId="0" applyNumberFormat="1" applyFont="1" applyFill="1" applyBorder="1" applyAlignment="1">
      <alignment horizontal="center" vertical="center"/>
    </xf>
    <xf numFmtId="164" fontId="22" fillId="5" borderId="14" xfId="2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/>
    </xf>
    <xf numFmtId="164" fontId="22" fillId="5" borderId="37" xfId="2" applyFont="1" applyFill="1" applyBorder="1" applyAlignment="1">
      <alignment horizontal="center" vertical="center"/>
    </xf>
    <xf numFmtId="4" fontId="9" fillId="5" borderId="27" xfId="0" applyNumberFormat="1" applyFont="1" applyFill="1" applyBorder="1" applyAlignment="1">
      <alignment horizontal="center" vertical="center"/>
    </xf>
    <xf numFmtId="166" fontId="9" fillId="5" borderId="12" xfId="0" applyNumberFormat="1" applyFont="1" applyFill="1" applyBorder="1" applyAlignment="1">
      <alignment horizontal="center" vertical="center"/>
    </xf>
    <xf numFmtId="4" fontId="9" fillId="5" borderId="37" xfId="0" applyNumberFormat="1" applyFont="1" applyFill="1" applyBorder="1" applyAlignment="1">
      <alignment horizontal="center" vertical="center"/>
    </xf>
    <xf numFmtId="166" fontId="9" fillId="5" borderId="45" xfId="0" applyNumberFormat="1" applyFont="1" applyFill="1" applyBorder="1" applyAlignment="1">
      <alignment horizontal="right" vertical="center" indent="1"/>
    </xf>
    <xf numFmtId="166" fontId="9" fillId="5" borderId="41" xfId="0" applyNumberFormat="1" applyFont="1" applyFill="1" applyBorder="1" applyAlignment="1">
      <alignment horizontal="right" vertical="center" indent="1"/>
    </xf>
    <xf numFmtId="4" fontId="9" fillId="5" borderId="32" xfId="0" applyNumberFormat="1" applyFont="1" applyFill="1" applyBorder="1" applyAlignment="1">
      <alignment horizontal="right" vertical="center" indent="1"/>
    </xf>
    <xf numFmtId="4" fontId="9" fillId="5" borderId="42" xfId="0" applyNumberFormat="1" applyFont="1" applyFill="1" applyBorder="1" applyAlignment="1">
      <alignment horizontal="right" vertical="center" indent="1"/>
    </xf>
    <xf numFmtId="0" fontId="6" fillId="4" borderId="6" xfId="0" applyFont="1" applyFill="1" applyBorder="1"/>
    <xf numFmtId="165" fontId="18" fillId="0" borderId="49" xfId="2" applyNumberFormat="1" applyFont="1" applyFill="1" applyBorder="1" applyAlignment="1">
      <alignment horizontal="center" vertical="center"/>
    </xf>
    <xf numFmtId="165" fontId="18" fillId="0" borderId="48" xfId="2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left" vertical="top" wrapText="1"/>
    </xf>
    <xf numFmtId="0" fontId="19" fillId="4" borderId="0" xfId="0" applyFont="1" applyFill="1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4" fontId="6" fillId="3" borderId="33" xfId="0" applyNumberFormat="1" applyFont="1" applyFill="1" applyBorder="1" applyAlignment="1">
      <alignment horizontal="left" vertical="center" wrapText="1"/>
    </xf>
    <xf numFmtId="4" fontId="6" fillId="3" borderId="21" xfId="0" applyNumberFormat="1" applyFont="1" applyFill="1" applyBorder="1" applyAlignment="1">
      <alignment horizontal="left" vertical="center" wrapText="1"/>
    </xf>
    <xf numFmtId="4" fontId="6" fillId="3" borderId="30" xfId="0" applyNumberFormat="1" applyFont="1" applyFill="1" applyBorder="1" applyAlignment="1">
      <alignment horizontal="left" vertical="center" wrapText="1"/>
    </xf>
    <xf numFmtId="4" fontId="9" fillId="3" borderId="47" xfId="0" applyNumberFormat="1" applyFont="1" applyFill="1" applyBorder="1" applyAlignment="1">
      <alignment horizontal="center" vertical="center"/>
    </xf>
    <xf numFmtId="4" fontId="9" fillId="3" borderId="26" xfId="0" applyNumberFormat="1" applyFont="1" applyFill="1" applyBorder="1" applyAlignment="1">
      <alignment horizontal="center" vertical="center"/>
    </xf>
    <xf numFmtId="4" fontId="6" fillId="3" borderId="35" xfId="0" applyNumberFormat="1" applyFont="1" applyFill="1" applyBorder="1" applyAlignment="1">
      <alignment horizontal="left" vertical="center" wrapText="1"/>
    </xf>
    <xf numFmtId="4" fontId="6" fillId="3" borderId="44" xfId="0" applyNumberFormat="1" applyFont="1" applyFill="1" applyBorder="1" applyAlignment="1">
      <alignment horizontal="left" vertical="center" wrapText="1"/>
    </xf>
    <xf numFmtId="4" fontId="6" fillId="3" borderId="36" xfId="0" applyNumberFormat="1" applyFont="1" applyFill="1" applyBorder="1" applyAlignment="1">
      <alignment horizontal="left" vertical="center" wrapText="1"/>
    </xf>
    <xf numFmtId="4" fontId="6" fillId="3" borderId="37" xfId="0" applyNumberFormat="1" applyFont="1" applyFill="1" applyBorder="1" applyAlignment="1">
      <alignment horizontal="left" vertical="center" wrapText="1"/>
    </xf>
    <xf numFmtId="4" fontId="6" fillId="3" borderId="46" xfId="0" applyNumberFormat="1" applyFont="1" applyFill="1" applyBorder="1" applyAlignment="1">
      <alignment horizontal="left" vertical="center" wrapText="1"/>
    </xf>
    <xf numFmtId="4" fontId="6" fillId="3" borderId="43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23" xfId="2" applyNumberFormat="1" applyFont="1" applyFill="1" applyBorder="1" applyAlignment="1">
      <alignment horizontal="left" vertical="center"/>
    </xf>
    <xf numFmtId="165" fontId="18" fillId="0" borderId="24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23" xfId="3" applyFont="1" applyFill="1" applyBorder="1" applyAlignment="1">
      <alignment horizontal="left" vertical="center"/>
    </xf>
    <xf numFmtId="9" fontId="18" fillId="0" borderId="24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4" fontId="6" fillId="3" borderId="33" xfId="0" applyNumberFormat="1" applyFont="1" applyFill="1" applyBorder="1" applyAlignment="1">
      <alignment horizontal="left" vertical="center"/>
    </xf>
    <xf numFmtId="4" fontId="6" fillId="3" borderId="21" xfId="0" applyNumberFormat="1" applyFont="1" applyFill="1" applyBorder="1" applyAlignment="1">
      <alignment horizontal="left" vertical="center"/>
    </xf>
    <xf numFmtId="4" fontId="6" fillId="3" borderId="30" xfId="0" applyNumberFormat="1" applyFont="1" applyFill="1" applyBorder="1" applyAlignment="1">
      <alignment horizontal="left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495144</xdr:colOff>
      <xdr:row>1</xdr:row>
      <xdr:rowOff>379810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CD0DD4F-BBFE-4037-9E2F-15F8330B9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63717" cy="9921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42184</xdr:colOff>
      <xdr:row>0</xdr:row>
      <xdr:rowOff>0</xdr:rowOff>
    </xdr:from>
    <xdr:to>
      <xdr:col>6</xdr:col>
      <xdr:colOff>230865</xdr:colOff>
      <xdr:row>1</xdr:row>
      <xdr:rowOff>829382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7E2AA2-1641-4916-BFD9-50856716F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84" y="0"/>
          <a:ext cx="10062481" cy="10026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MIZ@PIXEL%20S.L.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MIZ@PIXEL%20S.L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6"/>
  <sheetViews>
    <sheetView topLeftCell="A4" zoomScale="80" zoomScaleNormal="80" workbookViewId="0">
      <selection activeCell="O15" sqref="O15"/>
    </sheetView>
  </sheetViews>
  <sheetFormatPr baseColWidth="10" defaultRowHeight="12.45" x14ac:dyDescent="0.3"/>
  <cols>
    <col min="1" max="1" width="32.84375" customWidth="1"/>
    <col min="2" max="2" width="27.15234375" customWidth="1"/>
    <col min="3" max="3" width="29.53515625" customWidth="1"/>
    <col min="4" max="4" width="21.15234375" customWidth="1"/>
    <col min="5" max="10" width="16.53515625" customWidth="1"/>
    <col min="11" max="11" width="16.15234375" customWidth="1"/>
  </cols>
  <sheetData>
    <row r="1" spans="1:18" ht="48" customHeight="1" x14ac:dyDescent="0.3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8" ht="30.75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8" ht="17.600000000000001" x14ac:dyDescent="0.4">
      <c r="A3" s="119" t="s">
        <v>40</v>
      </c>
      <c r="B3" s="119"/>
      <c r="C3" s="119"/>
      <c r="D3" s="119"/>
      <c r="E3" s="119"/>
      <c r="F3" s="119"/>
      <c r="G3" s="119"/>
      <c r="H3" s="119"/>
      <c r="I3" s="119"/>
      <c r="J3" s="119"/>
      <c r="K3" s="39"/>
    </row>
    <row r="4" spans="1:18" ht="17.600000000000001" x14ac:dyDescent="0.4">
      <c r="A4" s="119" t="str">
        <f>valoración!A4</f>
        <v>"PROYECTO HAZ - DOCENCIA CFGS PRODUCCIÓN AUDIOVISUALES Y ESPECTÁCULOS"</v>
      </c>
      <c r="B4" s="119"/>
      <c r="C4" s="119"/>
      <c r="D4" s="119"/>
      <c r="E4" s="119"/>
      <c r="F4" s="119"/>
      <c r="G4" s="119"/>
      <c r="H4" s="119"/>
      <c r="I4" s="119"/>
      <c r="J4" s="119"/>
      <c r="K4" s="39"/>
    </row>
    <row r="5" spans="1:18" ht="17.600000000000001" x14ac:dyDescent="0.4">
      <c r="A5" s="119" t="str">
        <f>valoración!A5</f>
        <v>RESUMEN PUNTUACIÓN TÉCNICA Y ECONÓMICA</v>
      </c>
      <c r="B5" s="119"/>
      <c r="C5" s="119"/>
      <c r="D5" s="119"/>
      <c r="E5" s="119"/>
      <c r="F5" s="119"/>
      <c r="G5" s="119"/>
      <c r="H5" s="119"/>
      <c r="I5" s="119"/>
      <c r="J5" s="119"/>
      <c r="K5" s="39"/>
    </row>
    <row r="6" spans="1:18" ht="17.600000000000001" x14ac:dyDescent="0.4">
      <c r="A6" s="106"/>
      <c r="B6" s="106"/>
      <c r="C6" s="106"/>
      <c r="D6" s="106"/>
      <c r="E6" s="106"/>
      <c r="F6" s="106"/>
      <c r="G6" s="106"/>
      <c r="H6" s="106"/>
      <c r="I6" s="106"/>
      <c r="J6" s="106"/>
      <c r="K6" s="39"/>
    </row>
    <row r="7" spans="1:18" ht="17.600000000000001" x14ac:dyDescent="0.4">
      <c r="A7" s="106"/>
      <c r="B7" s="106"/>
      <c r="C7" s="106"/>
      <c r="D7" s="106"/>
      <c r="E7" s="106"/>
      <c r="F7" s="106"/>
      <c r="G7" s="106"/>
      <c r="H7" s="106"/>
      <c r="I7" s="106"/>
      <c r="J7" s="106"/>
      <c r="K7" s="39"/>
    </row>
    <row r="8" spans="1:18" ht="15.45" thickBot="1" x14ac:dyDescent="0.35">
      <c r="A8" s="39"/>
      <c r="B8" s="39"/>
      <c r="C8" s="39"/>
      <c r="D8" s="39"/>
      <c r="E8" s="116" t="s">
        <v>15</v>
      </c>
      <c r="F8" s="117"/>
      <c r="G8" s="117"/>
      <c r="H8" s="117"/>
      <c r="I8" s="117"/>
      <c r="J8" s="117"/>
      <c r="K8" s="117"/>
    </row>
    <row r="9" spans="1:18" ht="60.45" thickBot="1" x14ac:dyDescent="0.35">
      <c r="A9" s="15" t="s">
        <v>4</v>
      </c>
      <c r="B9" s="16" t="s">
        <v>5</v>
      </c>
      <c r="C9" s="17" t="s">
        <v>6</v>
      </c>
      <c r="D9" s="18" t="s">
        <v>0</v>
      </c>
      <c r="E9" s="16" t="s">
        <v>20</v>
      </c>
      <c r="F9" s="17" t="s">
        <v>1</v>
      </c>
      <c r="G9" s="17" t="s">
        <v>17</v>
      </c>
      <c r="H9" s="17" t="s">
        <v>10</v>
      </c>
      <c r="I9" s="17" t="s">
        <v>11</v>
      </c>
      <c r="J9" s="18" t="s">
        <v>12</v>
      </c>
      <c r="K9" s="79" t="s">
        <v>21</v>
      </c>
    </row>
    <row r="10" spans="1:18" ht="35.15" customHeight="1" x14ac:dyDescent="0.3">
      <c r="A10" s="120" t="str">
        <f>valoración!A9</f>
        <v>LOTE 1:Tutorización presencial de ciclo</v>
      </c>
      <c r="B10" s="82" t="str">
        <f>valoración!B9</f>
        <v>ALFREDO CORDERO MARCOS</v>
      </c>
      <c r="C10" s="109">
        <f>valoración!C9</f>
        <v>47334</v>
      </c>
      <c r="D10" s="83">
        <v>75</v>
      </c>
      <c r="E10" s="84">
        <v>47334</v>
      </c>
      <c r="F10" s="85">
        <v>24.893919463656811</v>
      </c>
      <c r="G10" s="85">
        <v>99.893919463656815</v>
      </c>
      <c r="H10" s="80">
        <v>1</v>
      </c>
      <c r="I10" s="86">
        <v>0.29595455002453469</v>
      </c>
      <c r="J10" s="107">
        <v>29.56405998505366</v>
      </c>
      <c r="K10" s="108">
        <f>100-($E10*100/$C10)</f>
        <v>0</v>
      </c>
    </row>
    <row r="11" spans="1:18" ht="35.15" customHeight="1" x14ac:dyDescent="0.3">
      <c r="A11" s="121"/>
      <c r="B11" s="47" t="str">
        <f>valoración!B10</f>
        <v>ANDREU FULLANA ARIAS</v>
      </c>
      <c r="C11" s="48">
        <f>valoración!C10</f>
        <v>47334</v>
      </c>
      <c r="D11" s="21">
        <v>69</v>
      </c>
      <c r="E11" s="22">
        <v>47134</v>
      </c>
      <c r="F11" s="23">
        <v>25</v>
      </c>
      <c r="G11" s="23">
        <v>94</v>
      </c>
      <c r="H11" s="31"/>
      <c r="I11" s="29"/>
      <c r="J11" s="78"/>
      <c r="K11" s="50">
        <f>100-($E11*100/$C11)</f>
        <v>0.42252926015126491</v>
      </c>
    </row>
    <row r="12" spans="1:18" ht="35.15" customHeight="1" thickBot="1" x14ac:dyDescent="0.35">
      <c r="A12" s="122"/>
      <c r="B12" s="40" t="str">
        <f>valoración!B11</f>
        <v>UNIVERSO MEDIA TECH S.L.</v>
      </c>
      <c r="C12" s="41">
        <f>valoración!C11</f>
        <v>47334</v>
      </c>
      <c r="D12" s="58" t="s">
        <v>33</v>
      </c>
      <c r="E12" s="59" t="s">
        <v>34</v>
      </c>
      <c r="F12" s="123" t="s">
        <v>41</v>
      </c>
      <c r="G12" s="124"/>
      <c r="H12" s="124"/>
      <c r="I12" s="124"/>
      <c r="J12" s="125"/>
      <c r="K12" s="51"/>
    </row>
    <row r="13" spans="1:18" ht="35.15" customHeight="1" x14ac:dyDescent="0.3">
      <c r="A13" s="120" t="str">
        <f>valoración!A12</f>
        <v>LOTE 2: Docentes especialistas módulo empleabilidad I</v>
      </c>
      <c r="B13" s="82" t="str">
        <f>valoración!B12</f>
        <v>ALFREDO CORDERO MARCOS</v>
      </c>
      <c r="C13" s="109">
        <f>valoración!C12</f>
        <v>9196.44</v>
      </c>
      <c r="D13" s="83">
        <v>68</v>
      </c>
      <c r="E13" s="84">
        <v>9196.44</v>
      </c>
      <c r="F13" s="85">
        <v>25</v>
      </c>
      <c r="G13" s="94">
        <v>93</v>
      </c>
      <c r="H13" s="80">
        <v>1</v>
      </c>
      <c r="I13" s="86">
        <v>5.7500491444366253E-2</v>
      </c>
      <c r="J13" s="107">
        <v>5.3475457043260617</v>
      </c>
      <c r="K13" s="108">
        <f>100-($E13*100/$C13)</f>
        <v>0</v>
      </c>
    </row>
    <row r="14" spans="1:18" ht="35.15" customHeight="1" thickBot="1" x14ac:dyDescent="0.35">
      <c r="A14" s="122"/>
      <c r="B14" s="75" t="str">
        <f>valoración!B13</f>
        <v>UNIVERSO MEDIA TECH S.L.</v>
      </c>
      <c r="C14" s="76">
        <f>valoración!C13</f>
        <v>9196.44</v>
      </c>
      <c r="D14" s="62" t="s">
        <v>33</v>
      </c>
      <c r="E14" s="67" t="s">
        <v>34</v>
      </c>
      <c r="F14" s="123" t="s">
        <v>41</v>
      </c>
      <c r="G14" s="124"/>
      <c r="H14" s="124"/>
      <c r="I14" s="124"/>
      <c r="J14" s="125"/>
      <c r="K14" s="51"/>
    </row>
    <row r="15" spans="1:18" ht="35.15" customHeight="1" x14ac:dyDescent="0.3">
      <c r="A15" s="120" t="s">
        <v>28</v>
      </c>
      <c r="B15" s="82" t="s">
        <v>25</v>
      </c>
      <c r="C15" s="109">
        <f>12719.76+12719.76</f>
        <v>25439.52</v>
      </c>
      <c r="D15" s="83">
        <f>27+38</f>
        <v>65</v>
      </c>
      <c r="E15" s="84">
        <v>25239.52</v>
      </c>
      <c r="F15" s="85">
        <v>24.602344034898891</v>
      </c>
      <c r="G15" s="94">
        <v>89.602344034898891</v>
      </c>
      <c r="H15" s="80">
        <v>1</v>
      </c>
      <c r="I15" s="86">
        <v>0.15905990819369062</v>
      </c>
      <c r="J15" s="107">
        <v>14.220129319353509</v>
      </c>
      <c r="K15" s="108">
        <f t="shared" ref="K15" si="0">100-($E15*100/$C15)</f>
        <v>0.78617835556646298</v>
      </c>
      <c r="R15">
        <f>12619.76*2</f>
        <v>25239.52</v>
      </c>
    </row>
    <row r="16" spans="1:18" ht="35.15" customHeight="1" x14ac:dyDescent="0.3">
      <c r="A16" s="121"/>
      <c r="B16" s="38" t="s">
        <v>27</v>
      </c>
      <c r="C16" s="20">
        <f>12719.76+12719.76</f>
        <v>25439.52</v>
      </c>
      <c r="D16" s="21">
        <f>18+35</f>
        <v>53</v>
      </c>
      <c r="E16" s="22">
        <v>25439.52</v>
      </c>
      <c r="F16" s="23">
        <v>24.801897975872762</v>
      </c>
      <c r="G16" s="53">
        <v>77.801897975872762</v>
      </c>
      <c r="H16" s="31"/>
      <c r="I16" s="29"/>
      <c r="J16" s="78"/>
      <c r="K16" s="50">
        <f>100-($E16*100/$C16)</f>
        <v>0</v>
      </c>
    </row>
    <row r="17" spans="1:11" ht="35.15" customHeight="1" thickBot="1" x14ac:dyDescent="0.35">
      <c r="A17" s="122"/>
      <c r="B17" s="56" t="s">
        <v>26</v>
      </c>
      <c r="C17" s="63">
        <f>12719.76+12719.76</f>
        <v>25439.52</v>
      </c>
      <c r="D17" s="58" t="s">
        <v>33</v>
      </c>
      <c r="E17" s="59" t="s">
        <v>34</v>
      </c>
      <c r="F17" s="123" t="s">
        <v>41</v>
      </c>
      <c r="G17" s="124"/>
      <c r="H17" s="124"/>
      <c r="I17" s="124"/>
      <c r="J17" s="125"/>
      <c r="K17" s="51"/>
    </row>
    <row r="18" spans="1:11" ht="35.15" customHeight="1" x14ac:dyDescent="0.3">
      <c r="A18" s="120" t="s">
        <v>29</v>
      </c>
      <c r="B18" s="82" t="s">
        <v>25</v>
      </c>
      <c r="C18" s="109">
        <f>17542.17+17542.17</f>
        <v>35084.339999999997</v>
      </c>
      <c r="D18" s="110">
        <f>27+38</f>
        <v>65</v>
      </c>
      <c r="E18" s="111">
        <v>34844.339999999997</v>
      </c>
      <c r="F18" s="85">
        <v>25</v>
      </c>
      <c r="G18" s="94">
        <v>90</v>
      </c>
      <c r="H18" s="80">
        <v>1</v>
      </c>
      <c r="I18" s="86">
        <v>0.21936388341589097</v>
      </c>
      <c r="J18" s="107">
        <v>19.742749507430187</v>
      </c>
      <c r="K18" s="108">
        <f>100-($E18*100/$C18)</f>
        <v>0.68406588238514132</v>
      </c>
    </row>
    <row r="19" spans="1:11" ht="35.15" customHeight="1" x14ac:dyDescent="0.3">
      <c r="A19" s="121"/>
      <c r="B19" s="60" t="s">
        <v>30</v>
      </c>
      <c r="C19" s="61">
        <f>17542.17+17542.17</f>
        <v>35084.339999999997</v>
      </c>
      <c r="D19" s="64" t="s">
        <v>33</v>
      </c>
      <c r="E19" s="65" t="s">
        <v>34</v>
      </c>
      <c r="F19" s="128" t="s">
        <v>35</v>
      </c>
      <c r="G19" s="129"/>
      <c r="H19" s="129"/>
      <c r="I19" s="129"/>
      <c r="J19" s="130"/>
      <c r="K19" s="50"/>
    </row>
    <row r="20" spans="1:11" ht="35.15" customHeight="1" thickBot="1" x14ac:dyDescent="0.35">
      <c r="A20" s="121"/>
      <c r="B20" s="56" t="s">
        <v>26</v>
      </c>
      <c r="C20" s="63">
        <f>17542.17+17542.17</f>
        <v>35084.339999999997</v>
      </c>
      <c r="D20" s="66" t="s">
        <v>33</v>
      </c>
      <c r="E20" s="77" t="s">
        <v>34</v>
      </c>
      <c r="F20" s="123" t="s">
        <v>41</v>
      </c>
      <c r="G20" s="124"/>
      <c r="H20" s="124"/>
      <c r="I20" s="124"/>
      <c r="J20" s="125"/>
      <c r="K20" s="51"/>
    </row>
    <row r="21" spans="1:11" ht="35.15" customHeight="1" x14ac:dyDescent="0.3">
      <c r="A21" s="120" t="s">
        <v>44</v>
      </c>
      <c r="B21" s="68" t="s">
        <v>30</v>
      </c>
      <c r="C21" s="69">
        <f>9913.59+9913.59</f>
        <v>19827.18</v>
      </c>
      <c r="D21" s="126" t="s">
        <v>42</v>
      </c>
      <c r="E21" s="70" t="s">
        <v>34</v>
      </c>
      <c r="F21" s="131" t="s">
        <v>35</v>
      </c>
      <c r="G21" s="132"/>
      <c r="H21" s="132"/>
      <c r="I21" s="132"/>
      <c r="J21" s="133"/>
      <c r="K21" s="49"/>
    </row>
    <row r="22" spans="1:11" ht="35.15" customHeight="1" thickBot="1" x14ac:dyDescent="0.35">
      <c r="A22" s="122"/>
      <c r="B22" s="71" t="s">
        <v>26</v>
      </c>
      <c r="C22" s="72">
        <f>9913.59+9913.59</f>
        <v>19827.18</v>
      </c>
      <c r="D22" s="127"/>
      <c r="E22" s="67" t="s">
        <v>34</v>
      </c>
      <c r="F22" s="123" t="s">
        <v>41</v>
      </c>
      <c r="G22" s="124"/>
      <c r="H22" s="124"/>
      <c r="I22" s="124"/>
      <c r="J22" s="125"/>
      <c r="K22" s="51"/>
    </row>
    <row r="23" spans="1:11" ht="35.15" customHeight="1" x14ac:dyDescent="0.3">
      <c r="A23" s="120" t="s">
        <v>31</v>
      </c>
      <c r="B23" s="82" t="s">
        <v>27</v>
      </c>
      <c r="C23" s="109">
        <v>23055.24</v>
      </c>
      <c r="D23" s="83">
        <f>18+35</f>
        <v>53</v>
      </c>
      <c r="E23" s="112">
        <v>23055.24</v>
      </c>
      <c r="F23" s="113">
        <v>25</v>
      </c>
      <c r="G23" s="114">
        <v>78</v>
      </c>
      <c r="H23" s="80">
        <v>1</v>
      </c>
      <c r="I23" s="86">
        <v>0.14415226221970789</v>
      </c>
      <c r="J23" s="107">
        <v>11.243876453137215</v>
      </c>
      <c r="K23" s="108">
        <f t="shared" ref="K23" si="1">100-($E23*100/$C23)</f>
        <v>0</v>
      </c>
    </row>
    <row r="24" spans="1:11" ht="35.15" customHeight="1" x14ac:dyDescent="0.3">
      <c r="A24" s="121"/>
      <c r="B24" s="60" t="s">
        <v>30</v>
      </c>
      <c r="C24" s="61">
        <v>23055.24</v>
      </c>
      <c r="D24" s="58" t="s">
        <v>33</v>
      </c>
      <c r="E24" s="65" t="s">
        <v>34</v>
      </c>
      <c r="F24" s="128" t="s">
        <v>35</v>
      </c>
      <c r="G24" s="129"/>
      <c r="H24" s="129"/>
      <c r="I24" s="129"/>
      <c r="J24" s="130"/>
      <c r="K24" s="50"/>
    </row>
    <row r="25" spans="1:11" ht="35.15" customHeight="1" thickBot="1" x14ac:dyDescent="0.35">
      <c r="A25" s="122"/>
      <c r="B25" s="71" t="s">
        <v>26</v>
      </c>
      <c r="C25" s="72">
        <v>23055.24</v>
      </c>
      <c r="D25" s="73" t="s">
        <v>33</v>
      </c>
      <c r="E25" s="67" t="s">
        <v>34</v>
      </c>
      <c r="F25" s="123" t="s">
        <v>41</v>
      </c>
      <c r="G25" s="124"/>
      <c r="H25" s="124"/>
      <c r="I25" s="124"/>
      <c r="J25" s="125"/>
      <c r="K25" s="51"/>
    </row>
    <row r="26" spans="1:11" ht="32.049999999999997" customHeight="1" thickBot="1" x14ac:dyDescent="0.35">
      <c r="A26" s="42"/>
      <c r="B26" s="43" t="s">
        <v>13</v>
      </c>
      <c r="C26" s="44">
        <f>C10+C13+C15+C18+C21+C23</f>
        <v>159936.72</v>
      </c>
      <c r="D26" s="45"/>
      <c r="E26" s="45"/>
      <c r="F26" s="45"/>
      <c r="G26" s="45"/>
      <c r="H26" s="45"/>
      <c r="I26" s="39"/>
      <c r="J26" s="39"/>
      <c r="K26" s="39"/>
    </row>
    <row r="27" spans="1:11" x14ac:dyDescent="0.3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1:11" ht="13.75" x14ac:dyDescent="0.3">
      <c r="A28" s="46" t="s">
        <v>2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1:11" ht="21" customHeight="1" x14ac:dyDescent="0.35">
      <c r="A29" s="115" t="s">
        <v>37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1:11" x14ac:dyDescent="0.3">
      <c r="B30" s="39"/>
      <c r="C30" s="39"/>
      <c r="D30" s="39"/>
      <c r="E30" s="39"/>
      <c r="F30" s="39"/>
      <c r="G30" s="39"/>
      <c r="H30" s="39"/>
      <c r="I30" s="39"/>
      <c r="J30" s="39"/>
      <c r="K30" s="39"/>
    </row>
    <row r="31" spans="1:11" ht="12.65" customHeight="1" x14ac:dyDescent="0.3">
      <c r="A31" s="118"/>
      <c r="B31" s="118"/>
      <c r="C31" s="118"/>
      <c r="D31" s="118"/>
      <c r="E31" s="118"/>
      <c r="F31" s="118"/>
      <c r="G31" s="118"/>
      <c r="H31" s="118"/>
      <c r="I31" s="118"/>
      <c r="J31" s="118"/>
      <c r="K31" s="118"/>
    </row>
    <row r="32" spans="1:11" ht="12.65" customHeight="1" x14ac:dyDescent="0.3">
      <c r="A32" s="118"/>
      <c r="B32" s="118"/>
      <c r="C32" s="118"/>
      <c r="D32" s="118"/>
      <c r="E32" s="118"/>
      <c r="F32" s="118"/>
      <c r="G32" s="118"/>
      <c r="H32" s="118"/>
      <c r="I32" s="118"/>
      <c r="J32" s="118"/>
      <c r="K32" s="118"/>
    </row>
    <row r="33" spans="1:11" ht="12.65" customHeight="1" x14ac:dyDescent="0.3">
      <c r="A33" s="118"/>
      <c r="B33" s="118"/>
      <c r="C33" s="118"/>
      <c r="D33" s="118"/>
      <c r="E33" s="118"/>
      <c r="F33" s="118"/>
      <c r="G33" s="118"/>
      <c r="H33" s="118"/>
      <c r="I33" s="118"/>
      <c r="J33" s="118"/>
      <c r="K33" s="118"/>
    </row>
    <row r="34" spans="1:11" ht="12.65" customHeight="1" x14ac:dyDescent="0.3">
      <c r="A34" s="118"/>
      <c r="B34" s="118"/>
      <c r="C34" s="118"/>
      <c r="D34" s="118"/>
      <c r="E34" s="118"/>
      <c r="F34" s="118"/>
      <c r="G34" s="118"/>
      <c r="H34" s="118"/>
      <c r="I34" s="118"/>
      <c r="J34" s="118"/>
      <c r="K34" s="118"/>
    </row>
    <row r="35" spans="1:11" ht="12.65" customHeight="1" x14ac:dyDescent="0.3">
      <c r="A35" s="118"/>
      <c r="B35" s="118"/>
      <c r="C35" s="118"/>
      <c r="D35" s="118"/>
      <c r="E35" s="118"/>
      <c r="F35" s="118"/>
      <c r="G35" s="118"/>
      <c r="H35" s="118"/>
      <c r="I35" s="118"/>
      <c r="J35" s="118"/>
      <c r="K35" s="118"/>
    </row>
    <row r="36" spans="1:11" ht="12.65" customHeight="1" x14ac:dyDescent="0.3">
      <c r="A36" s="52"/>
      <c r="B36" s="52"/>
      <c r="C36" s="52"/>
      <c r="D36" s="52"/>
      <c r="E36" s="52"/>
      <c r="F36" s="52"/>
    </row>
  </sheetData>
  <mergeCells count="21">
    <mergeCell ref="D21:D22"/>
    <mergeCell ref="F19:J19"/>
    <mergeCell ref="F21:J21"/>
    <mergeCell ref="F24:J24"/>
    <mergeCell ref="F25:J25"/>
    <mergeCell ref="E8:K8"/>
    <mergeCell ref="A31:K35"/>
    <mergeCell ref="A3:J3"/>
    <mergeCell ref="A4:J4"/>
    <mergeCell ref="A5:J5"/>
    <mergeCell ref="A10:A12"/>
    <mergeCell ref="A13:A14"/>
    <mergeCell ref="A15:A17"/>
    <mergeCell ref="A18:A20"/>
    <mergeCell ref="F12:J12"/>
    <mergeCell ref="F14:J14"/>
    <mergeCell ref="F17:J17"/>
    <mergeCell ref="F20:J20"/>
    <mergeCell ref="A21:A22"/>
    <mergeCell ref="A23:A25"/>
    <mergeCell ref="F22:J22"/>
  </mergeCells>
  <hyperlinks>
    <hyperlink ref="B16" r:id="rId1" display="SMIZ@PIXEL S.L." xr:uid="{93849127-526F-4665-8C98-5220B9F84727}"/>
  </hyperlinks>
  <printOptions horizontalCentered="1"/>
  <pageMargins left="0.11811023622047245" right="0.11811023622047245" top="0.15748031496062992" bottom="0.15748031496062992" header="0.31496062992125984" footer="0.31496062992125984"/>
  <pageSetup paperSize="9" scale="64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1"/>
  <sheetViews>
    <sheetView showGridLines="0" showZeros="0" tabSelected="1" topLeftCell="A19" zoomScale="70" zoomScaleNormal="70" workbookViewId="0">
      <selection activeCell="T20" sqref="T20"/>
    </sheetView>
  </sheetViews>
  <sheetFormatPr baseColWidth="10" defaultColWidth="11.4609375" defaultRowHeight="15" x14ac:dyDescent="0.3"/>
  <cols>
    <col min="1" max="1" width="30.4609375" style="9" customWidth="1"/>
    <col min="2" max="2" width="30.4609375" style="10" customWidth="1"/>
    <col min="3" max="3" width="25.15234375" style="10" customWidth="1"/>
    <col min="4" max="4" width="22.921875" style="10" customWidth="1"/>
    <col min="5" max="5" width="22.53515625" style="10" customWidth="1"/>
    <col min="6" max="17" width="16.53515625" style="10" customWidth="1"/>
    <col min="18" max="18" width="11.4609375" style="10"/>
    <col min="19" max="19" width="11.4609375" style="10" customWidth="1"/>
    <col min="20" max="16384" width="11.4609375" style="10"/>
  </cols>
  <sheetData>
    <row r="1" spans="1:21" x14ac:dyDescent="0.3">
      <c r="T1" s="12" t="s">
        <v>7</v>
      </c>
    </row>
    <row r="2" spans="1:21" s="3" customFormat="1" ht="71.25" customHeight="1" x14ac:dyDescent="0.25">
      <c r="A2" s="2"/>
      <c r="D2" s="4"/>
      <c r="E2" s="4"/>
      <c r="F2" s="4"/>
      <c r="G2" s="4"/>
      <c r="H2" s="5"/>
      <c r="M2" s="11"/>
      <c r="T2" s="13" t="s">
        <v>19</v>
      </c>
      <c r="U2" s="14">
        <v>25</v>
      </c>
    </row>
    <row r="3" spans="1:21" s="3" customFormat="1" ht="22.5" customHeight="1" x14ac:dyDescent="0.25">
      <c r="A3" s="141" t="s">
        <v>39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T3" s="25" t="s">
        <v>9</v>
      </c>
    </row>
    <row r="4" spans="1:21" s="3" customFormat="1" ht="22.5" customHeight="1" x14ac:dyDescent="0.25">
      <c r="A4" s="141" t="s">
        <v>38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</row>
    <row r="5" spans="1:21" s="3" customFormat="1" ht="24.65" customHeight="1" x14ac:dyDescent="0.25">
      <c r="A5" s="141" t="s">
        <v>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</row>
    <row r="6" spans="1:21" s="3" customFormat="1" ht="24.65" customHeight="1" thickBot="1" x14ac:dyDescent="0.3">
      <c r="A6" s="24"/>
      <c r="B6" s="24"/>
      <c r="C6" s="24"/>
      <c r="D6" s="24"/>
      <c r="E6" s="24"/>
      <c r="F6" s="24"/>
      <c r="G6" s="24"/>
      <c r="H6" s="4"/>
    </row>
    <row r="7" spans="1:21" s="3" customFormat="1" ht="24.75" customHeight="1" thickBot="1" x14ac:dyDescent="0.4">
      <c r="A7" s="2"/>
      <c r="B7" s="6"/>
      <c r="C7" s="7"/>
      <c r="D7" s="7"/>
      <c r="E7" s="135" t="s">
        <v>15</v>
      </c>
      <c r="F7" s="136"/>
      <c r="G7" s="136"/>
      <c r="H7" s="136"/>
      <c r="I7" s="136"/>
      <c r="J7" s="137"/>
      <c r="K7" s="138" t="s">
        <v>36</v>
      </c>
      <c r="L7" s="139"/>
      <c r="M7" s="139"/>
      <c r="N7" s="139"/>
      <c r="O7" s="139"/>
      <c r="P7" s="139"/>
      <c r="Q7" s="140"/>
    </row>
    <row r="8" spans="1:21" s="8" customFormat="1" ht="60.45" thickBot="1" x14ac:dyDescent="0.4">
      <c r="A8" s="15" t="s">
        <v>4</v>
      </c>
      <c r="B8" s="16" t="s">
        <v>5</v>
      </c>
      <c r="C8" s="17" t="s">
        <v>32</v>
      </c>
      <c r="D8" s="18" t="s">
        <v>0</v>
      </c>
      <c r="E8" s="16" t="s">
        <v>18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18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1" s="3" customFormat="1" ht="35.15" customHeight="1" x14ac:dyDescent="0.25">
      <c r="A9" s="120" t="s">
        <v>22</v>
      </c>
      <c r="B9" s="90" t="s">
        <v>24</v>
      </c>
      <c r="C9" s="91">
        <f>23667+23667</f>
        <v>47334</v>
      </c>
      <c r="D9" s="92">
        <v>75</v>
      </c>
      <c r="E9" s="84">
        <f>23667+23667</f>
        <v>47334</v>
      </c>
      <c r="F9" s="85">
        <f>$U$2*(2-E9/MIN(E$9:E$11))</f>
        <v>24.893919463656811</v>
      </c>
      <c r="G9" s="85">
        <f>D9+F9</f>
        <v>99.893919463656815</v>
      </c>
      <c r="H9" s="80">
        <v>1</v>
      </c>
      <c r="I9" s="86">
        <f>+$C9/$C$25*H9</f>
        <v>0.29595455002453469</v>
      </c>
      <c r="J9" s="87">
        <f t="shared" ref="J9:J14" si="0">+G9*I9</f>
        <v>29.56405998505366</v>
      </c>
      <c r="K9" s="88"/>
      <c r="L9" s="89">
        <f>+$E9*(1-K9)</f>
        <v>47334</v>
      </c>
      <c r="M9" s="85">
        <f>$U$2*(2-L9/MIN(L$9:L$11))</f>
        <v>24.893919463656811</v>
      </c>
      <c r="N9" s="85">
        <f>$D9+M9</f>
        <v>99.893919463656815</v>
      </c>
      <c r="O9" s="81">
        <v>1</v>
      </c>
      <c r="P9" s="86">
        <f>+$C9/$C$25*O9</f>
        <v>0.29595455002453469</v>
      </c>
      <c r="Q9" s="87">
        <f>+N9*P9</f>
        <v>29.56405998505366</v>
      </c>
    </row>
    <row r="10" spans="1:21" s="3" customFormat="1" ht="35.15" customHeight="1" x14ac:dyDescent="0.25">
      <c r="A10" s="121"/>
      <c r="B10" s="38" t="s">
        <v>25</v>
      </c>
      <c r="C10" s="20">
        <f>C9</f>
        <v>47334</v>
      </c>
      <c r="D10" s="21">
        <v>69</v>
      </c>
      <c r="E10" s="22">
        <f>23567*2</f>
        <v>47134</v>
      </c>
      <c r="F10" s="23">
        <f>$U$2*(2-E10/MIN(E$9:E$11))</f>
        <v>25</v>
      </c>
      <c r="G10" s="23">
        <f>D10+F10</f>
        <v>94</v>
      </c>
      <c r="H10" s="31"/>
      <c r="I10" s="29">
        <f>+$C10/$C$25*H10</f>
        <v>0</v>
      </c>
      <c r="J10" s="30"/>
      <c r="K10" s="35"/>
      <c r="L10" s="36">
        <f>+$E10*(1-K10)</f>
        <v>47134</v>
      </c>
      <c r="M10" s="23">
        <f>$U$2*(2-L10/MIN(L$9:L$11))</f>
        <v>25</v>
      </c>
      <c r="N10" s="23">
        <f>$D10+M10</f>
        <v>94</v>
      </c>
      <c r="O10" s="32"/>
      <c r="P10" s="29">
        <f>+$C10/$C$25*O10</f>
        <v>0</v>
      </c>
      <c r="Q10" s="30">
        <f t="shared" ref="Q10" si="1">+N10*P10</f>
        <v>0</v>
      </c>
    </row>
    <row r="11" spans="1:21" s="3" customFormat="1" ht="35.15" customHeight="1" thickBot="1" x14ac:dyDescent="0.3">
      <c r="A11" s="122"/>
      <c r="B11" s="56" t="s">
        <v>26</v>
      </c>
      <c r="C11" s="57">
        <f>C10</f>
        <v>47334</v>
      </c>
      <c r="D11" s="58" t="s">
        <v>33</v>
      </c>
      <c r="E11" s="59" t="s">
        <v>34</v>
      </c>
      <c r="F11" s="142" t="s">
        <v>41</v>
      </c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4"/>
    </row>
    <row r="12" spans="1:21" s="3" customFormat="1" ht="35.15" customHeight="1" x14ac:dyDescent="0.25">
      <c r="A12" s="120" t="s">
        <v>23</v>
      </c>
      <c r="B12" s="90" t="s">
        <v>24</v>
      </c>
      <c r="C12" s="91">
        <f>4598.22+4598.22</f>
        <v>9196.44</v>
      </c>
      <c r="D12" s="92">
        <v>68</v>
      </c>
      <c r="E12" s="84">
        <f>4598.22*2</f>
        <v>9196.44</v>
      </c>
      <c r="F12" s="85">
        <f>$U$2*(2-E12/MIN(E$12:E$13))</f>
        <v>25</v>
      </c>
      <c r="G12" s="85">
        <f t="shared" ref="G12:G15" si="2">D12+F12</f>
        <v>93</v>
      </c>
      <c r="H12" s="80">
        <v>1</v>
      </c>
      <c r="I12" s="86">
        <f>+$C12/$C$25*H12</f>
        <v>5.7500491444366253E-2</v>
      </c>
      <c r="J12" s="87">
        <f t="shared" si="0"/>
        <v>5.3475457043260617</v>
      </c>
      <c r="K12" s="88"/>
      <c r="L12" s="89">
        <f t="shared" ref="L12:L15" si="3">+$E12*(1-K12)</f>
        <v>9196.44</v>
      </c>
      <c r="M12" s="85">
        <f>$U$2*(2-L12/MIN(L$12:L$13))</f>
        <v>25</v>
      </c>
      <c r="N12" s="85">
        <f t="shared" ref="N12:N15" si="4">$D12+M12</f>
        <v>93</v>
      </c>
      <c r="O12" s="81">
        <v>1</v>
      </c>
      <c r="P12" s="86">
        <f>+$C12/$C$25*O12</f>
        <v>5.7500491444366253E-2</v>
      </c>
      <c r="Q12" s="87">
        <f t="shared" ref="Q12:Q15" si="5">+N12*P12</f>
        <v>5.3475457043260617</v>
      </c>
    </row>
    <row r="13" spans="1:21" s="3" customFormat="1" ht="35.15" customHeight="1" thickBot="1" x14ac:dyDescent="0.3">
      <c r="A13" s="121"/>
      <c r="B13" s="60" t="s">
        <v>26</v>
      </c>
      <c r="C13" s="61">
        <f>4598.22+4598.22</f>
        <v>9196.44</v>
      </c>
      <c r="D13" s="62" t="s">
        <v>33</v>
      </c>
      <c r="E13" s="59" t="s">
        <v>34</v>
      </c>
      <c r="F13" s="142" t="s">
        <v>41</v>
      </c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4"/>
    </row>
    <row r="14" spans="1:21" s="3" customFormat="1" ht="35.15" customHeight="1" x14ac:dyDescent="0.25">
      <c r="A14" s="120" t="s">
        <v>28</v>
      </c>
      <c r="B14" s="90" t="s">
        <v>25</v>
      </c>
      <c r="C14" s="93">
        <f>12719.76+12719.76</f>
        <v>25439.52</v>
      </c>
      <c r="D14" s="92">
        <f>27+38</f>
        <v>65</v>
      </c>
      <c r="E14" s="84">
        <f>12619.76*2</f>
        <v>25239.52</v>
      </c>
      <c r="F14" s="85">
        <f>$U$2*(2-E14/MIN(E$14:E$16))</f>
        <v>25</v>
      </c>
      <c r="G14" s="94">
        <f t="shared" si="2"/>
        <v>90</v>
      </c>
      <c r="H14" s="80">
        <v>1</v>
      </c>
      <c r="I14" s="86">
        <f>+$C14/$C$25*H14</f>
        <v>0.15905990819369062</v>
      </c>
      <c r="J14" s="87">
        <f t="shared" si="0"/>
        <v>14.315391737432156</v>
      </c>
      <c r="K14" s="33"/>
      <c r="L14" s="34">
        <f t="shared" si="3"/>
        <v>25239.52</v>
      </c>
      <c r="M14" s="19">
        <f>$U$2*(2-L14/MIN(L$14:L$16))</f>
        <v>24.429427411228467</v>
      </c>
      <c r="N14" s="19">
        <f t="shared" si="4"/>
        <v>89.42942741122846</v>
      </c>
      <c r="O14" s="26"/>
      <c r="P14" s="27">
        <f>+$C14/$C$25*O14</f>
        <v>0</v>
      </c>
      <c r="Q14" s="28">
        <f t="shared" si="5"/>
        <v>0</v>
      </c>
    </row>
    <row r="15" spans="1:21" s="3" customFormat="1" ht="35.15" customHeight="1" x14ac:dyDescent="0.25">
      <c r="A15" s="121"/>
      <c r="B15" s="38" t="s">
        <v>27</v>
      </c>
      <c r="C15" s="20">
        <f>12719.76+12719.76</f>
        <v>25439.52</v>
      </c>
      <c r="D15" s="21">
        <f>18+35</f>
        <v>53</v>
      </c>
      <c r="E15" s="22">
        <f>12719.76*2</f>
        <v>25439.52</v>
      </c>
      <c r="F15" s="23">
        <f>$U$2*(2-E15/MIN(E$14:E$16))</f>
        <v>24.801897975872762</v>
      </c>
      <c r="G15" s="53">
        <f t="shared" si="2"/>
        <v>77.801897975872762</v>
      </c>
      <c r="H15" s="31"/>
      <c r="I15" s="29"/>
      <c r="J15" s="30"/>
      <c r="K15" s="100">
        <v>0.03</v>
      </c>
      <c r="L15" s="101">
        <f t="shared" si="3"/>
        <v>24676.3344</v>
      </c>
      <c r="M15" s="102">
        <f>$U$2*(2-L15/MIN(L$14:L$16))</f>
        <v>25</v>
      </c>
      <c r="N15" s="102">
        <f t="shared" si="4"/>
        <v>78</v>
      </c>
      <c r="O15" s="103">
        <v>1</v>
      </c>
      <c r="P15" s="104">
        <f>+$C15/$C$25*O15</f>
        <v>0.15905990819369062</v>
      </c>
      <c r="Q15" s="105">
        <f t="shared" si="5"/>
        <v>12.406672839107868</v>
      </c>
    </row>
    <row r="16" spans="1:21" s="3" customFormat="1" ht="35.15" customHeight="1" thickBot="1" x14ac:dyDescent="0.3">
      <c r="A16" s="122"/>
      <c r="B16" s="56" t="s">
        <v>26</v>
      </c>
      <c r="C16" s="63">
        <f>12719.76+12719.76</f>
        <v>25439.52</v>
      </c>
      <c r="D16" s="58" t="s">
        <v>33</v>
      </c>
      <c r="E16" s="59" t="s">
        <v>34</v>
      </c>
      <c r="F16" s="142" t="s">
        <v>41</v>
      </c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4"/>
    </row>
    <row r="17" spans="1:17" s="3" customFormat="1" ht="35.15" customHeight="1" x14ac:dyDescent="0.25">
      <c r="A17" s="120" t="s">
        <v>29</v>
      </c>
      <c r="B17" s="90" t="s">
        <v>25</v>
      </c>
      <c r="C17" s="93">
        <f>17542.17+17542.17</f>
        <v>35084.339999999997</v>
      </c>
      <c r="D17" s="95">
        <f>27+38</f>
        <v>65</v>
      </c>
      <c r="E17" s="84">
        <f>17422.17*2</f>
        <v>34844.339999999997</v>
      </c>
      <c r="F17" s="85">
        <f>$U$2*(2-E17/MIN(E$17:E$19))</f>
        <v>25</v>
      </c>
      <c r="G17" s="94">
        <f t="shared" ref="G17" si="6">D17+F17</f>
        <v>90</v>
      </c>
      <c r="H17" s="96">
        <v>1</v>
      </c>
      <c r="I17" s="86">
        <f>+$C17/$C$25*H17</f>
        <v>0.21936388341589097</v>
      </c>
      <c r="J17" s="87">
        <f t="shared" ref="J17" si="7">+G17*I17</f>
        <v>19.742749507430187</v>
      </c>
      <c r="K17" s="88"/>
      <c r="L17" s="89">
        <f t="shared" ref="L17" si="8">+$E17*(1-K17)</f>
        <v>34844.339999999997</v>
      </c>
      <c r="M17" s="85">
        <f>F17</f>
        <v>25</v>
      </c>
      <c r="N17" s="85">
        <f t="shared" ref="N17" si="9">$D17+M17</f>
        <v>90</v>
      </c>
      <c r="O17" s="81">
        <v>1</v>
      </c>
      <c r="P17" s="86">
        <f>+$C17/$C$25*O17</f>
        <v>0.21936388341589097</v>
      </c>
      <c r="Q17" s="87">
        <f t="shared" ref="Q17" si="10">+N17*P17</f>
        <v>19.742749507430187</v>
      </c>
    </row>
    <row r="18" spans="1:17" s="3" customFormat="1" ht="35.15" customHeight="1" x14ac:dyDescent="0.25">
      <c r="A18" s="121"/>
      <c r="B18" s="60" t="s">
        <v>30</v>
      </c>
      <c r="C18" s="61">
        <f>17542.17+17542.17</f>
        <v>35084.339999999997</v>
      </c>
      <c r="D18" s="64" t="s">
        <v>33</v>
      </c>
      <c r="E18" s="65" t="s">
        <v>34</v>
      </c>
      <c r="F18" s="128" t="s">
        <v>35</v>
      </c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30"/>
    </row>
    <row r="19" spans="1:17" s="3" customFormat="1" ht="35.15" customHeight="1" thickBot="1" x14ac:dyDescent="0.3">
      <c r="A19" s="122"/>
      <c r="B19" s="56" t="s">
        <v>26</v>
      </c>
      <c r="C19" s="63">
        <f>17542.17+17542.17</f>
        <v>35084.339999999997</v>
      </c>
      <c r="D19" s="66" t="s">
        <v>33</v>
      </c>
      <c r="E19" s="67" t="s">
        <v>34</v>
      </c>
      <c r="F19" s="142" t="s">
        <v>41</v>
      </c>
      <c r="G19" s="143"/>
      <c r="H19" s="143"/>
      <c r="I19" s="143"/>
      <c r="J19" s="143"/>
      <c r="K19" s="143"/>
      <c r="L19" s="143"/>
      <c r="M19" s="143"/>
      <c r="N19" s="143"/>
      <c r="O19" s="143"/>
      <c r="P19" s="143"/>
      <c r="Q19" s="144"/>
    </row>
    <row r="20" spans="1:17" s="3" customFormat="1" ht="35.15" customHeight="1" x14ac:dyDescent="0.25">
      <c r="A20" s="120" t="s">
        <v>43</v>
      </c>
      <c r="B20" s="68" t="s">
        <v>30</v>
      </c>
      <c r="C20" s="69">
        <f>9913.59+9913.59</f>
        <v>19827.18</v>
      </c>
      <c r="D20" s="126" t="s">
        <v>42</v>
      </c>
      <c r="E20" s="70" t="s">
        <v>34</v>
      </c>
      <c r="F20" s="131" t="s">
        <v>35</v>
      </c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3"/>
    </row>
    <row r="21" spans="1:17" s="3" customFormat="1" ht="35.15" customHeight="1" thickBot="1" x14ac:dyDescent="0.3">
      <c r="A21" s="122"/>
      <c r="B21" s="60" t="s">
        <v>26</v>
      </c>
      <c r="C21" s="61">
        <f>9913.59+9913.59</f>
        <v>19827.18</v>
      </c>
      <c r="D21" s="127"/>
      <c r="E21" s="59" t="s">
        <v>34</v>
      </c>
      <c r="F21" s="142" t="s">
        <v>41</v>
      </c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4"/>
    </row>
    <row r="22" spans="1:17" s="3" customFormat="1" ht="35.15" customHeight="1" x14ac:dyDescent="0.25">
      <c r="A22" s="120" t="s">
        <v>31</v>
      </c>
      <c r="B22" s="90" t="s">
        <v>27</v>
      </c>
      <c r="C22" s="93">
        <v>23055.24</v>
      </c>
      <c r="D22" s="92">
        <f>18+35</f>
        <v>53</v>
      </c>
      <c r="E22" s="97">
        <f>11527.62*2</f>
        <v>23055.24</v>
      </c>
      <c r="F22" s="85">
        <f>$U$2*(2-E22/MIN(E$22:E$24))</f>
        <v>25</v>
      </c>
      <c r="G22" s="99">
        <f t="shared" ref="G22" si="11">D22+F22</f>
        <v>78</v>
      </c>
      <c r="H22" s="80">
        <v>1</v>
      </c>
      <c r="I22" s="86">
        <f>+$C22/$C$25*H22</f>
        <v>0.14415226221970789</v>
      </c>
      <c r="J22" s="87">
        <f t="shared" ref="J22" si="12">+G22*I22</f>
        <v>11.243876453137215</v>
      </c>
      <c r="K22" s="88">
        <v>0.03</v>
      </c>
      <c r="L22" s="89">
        <f t="shared" ref="L22" si="13">+$E22*(1-K22)</f>
        <v>22363.5828</v>
      </c>
      <c r="M22" s="85">
        <f>+F22</f>
        <v>25</v>
      </c>
      <c r="N22" s="85">
        <f t="shared" ref="N22" si="14">$D22+M22</f>
        <v>78</v>
      </c>
      <c r="O22" s="81">
        <v>1</v>
      </c>
      <c r="P22" s="86">
        <f>+$C22/$C$25*O22</f>
        <v>0.14415226221970789</v>
      </c>
      <c r="Q22" s="87">
        <f t="shared" ref="Q22" si="15">+N22*P22</f>
        <v>11.243876453137215</v>
      </c>
    </row>
    <row r="23" spans="1:17" s="3" customFormat="1" ht="35.15" customHeight="1" x14ac:dyDescent="0.25">
      <c r="A23" s="121"/>
      <c r="B23" s="60" t="s">
        <v>30</v>
      </c>
      <c r="C23" s="61">
        <v>23055.24</v>
      </c>
      <c r="D23" s="62">
        <v>0</v>
      </c>
      <c r="E23" s="65" t="s">
        <v>34</v>
      </c>
      <c r="F23" s="128" t="s">
        <v>35</v>
      </c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30"/>
    </row>
    <row r="24" spans="1:17" s="3" customFormat="1" ht="35.15" customHeight="1" thickBot="1" x14ac:dyDescent="0.3">
      <c r="A24" s="122"/>
      <c r="B24" s="71" t="s">
        <v>26</v>
      </c>
      <c r="C24" s="72">
        <v>23055.24</v>
      </c>
      <c r="D24" s="73">
        <v>0</v>
      </c>
      <c r="E24" s="67" t="s">
        <v>34</v>
      </c>
      <c r="F24" s="142" t="s">
        <v>41</v>
      </c>
      <c r="G24" s="143"/>
      <c r="H24" s="143"/>
      <c r="I24" s="143"/>
      <c r="J24" s="143"/>
      <c r="K24" s="143"/>
      <c r="L24" s="143"/>
      <c r="M24" s="143"/>
      <c r="N24" s="143"/>
      <c r="O24" s="143"/>
      <c r="P24" s="143"/>
      <c r="Q24" s="144"/>
    </row>
    <row r="25" spans="1:17" ht="42.75" customHeight="1" thickBot="1" x14ac:dyDescent="0.35">
      <c r="B25" s="54" t="s">
        <v>13</v>
      </c>
      <c r="C25" s="55">
        <f>C9+C12+C14+C17+C20+C22</f>
        <v>159936.72</v>
      </c>
      <c r="I25" s="37" t="s">
        <v>14</v>
      </c>
      <c r="J25" s="74">
        <f>SUM(J9:J24)</f>
        <v>80.213623387379286</v>
      </c>
      <c r="P25" s="37" t="s">
        <v>14</v>
      </c>
      <c r="Q25" s="98">
        <f>SUM(Q9:Q24)</f>
        <v>78.304904489054991</v>
      </c>
    </row>
    <row r="28" spans="1:17" ht="13.75" x14ac:dyDescent="0.3">
      <c r="A28" s="1" t="s">
        <v>2</v>
      </c>
    </row>
    <row r="29" spans="1:17" ht="13.75" x14ac:dyDescent="0.3">
      <c r="A29" s="1" t="s">
        <v>37</v>
      </c>
    </row>
    <row r="31" spans="1:17" ht="56.25" customHeight="1" x14ac:dyDescent="0.3">
      <c r="A31" s="134"/>
      <c r="B31" s="134"/>
      <c r="C31" s="134"/>
      <c r="D31" s="134"/>
      <c r="E31" s="134"/>
      <c r="F31" s="134"/>
      <c r="G31" s="134"/>
    </row>
  </sheetData>
  <mergeCells count="22">
    <mergeCell ref="A17:A19"/>
    <mergeCell ref="A20:A21"/>
    <mergeCell ref="A22:A24"/>
    <mergeCell ref="A12:A13"/>
    <mergeCell ref="A9:A11"/>
    <mergeCell ref="A14:A16"/>
    <mergeCell ref="A31:G31"/>
    <mergeCell ref="E7:J7"/>
    <mergeCell ref="K7:Q7"/>
    <mergeCell ref="A3:Q3"/>
    <mergeCell ref="A4:Q4"/>
    <mergeCell ref="A5:Q5"/>
    <mergeCell ref="F11:Q11"/>
    <mergeCell ref="F13:Q13"/>
    <mergeCell ref="F16:Q16"/>
    <mergeCell ref="F18:Q18"/>
    <mergeCell ref="F19:Q19"/>
    <mergeCell ref="F21:Q21"/>
    <mergeCell ref="F20:Q20"/>
    <mergeCell ref="F23:Q23"/>
    <mergeCell ref="F24:Q24"/>
    <mergeCell ref="D20:D21"/>
  </mergeCells>
  <hyperlinks>
    <hyperlink ref="B15" r:id="rId1" display="SMIZ@PIXEL S.L." xr:uid="{DBC0EC1F-9CE3-4A42-94FF-B60E080C20EC}"/>
  </hyperlinks>
  <printOptions horizontalCentered="1"/>
  <pageMargins left="0" right="0" top="0.35433070866141736" bottom="0.35433070866141736" header="0.31496062992125984" footer="0.31496062992125984"/>
  <pageSetup paperSize="9" scale="3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CARMEN MARIA RAMIREZ MARQUEZ</cp:lastModifiedBy>
  <cp:lastPrinted>2024-07-23T16:52:34Z</cp:lastPrinted>
  <dcterms:created xsi:type="dcterms:W3CDTF">2007-03-30T09:59:06Z</dcterms:created>
  <dcterms:modified xsi:type="dcterms:W3CDTF">2024-07-29T11:54:44Z</dcterms:modified>
</cp:coreProperties>
</file>