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3713-2024 Transmisores de OM\Informe\"/>
    </mc:Choice>
  </mc:AlternateContent>
  <xr:revisionPtr revIDLastSave="0" documentId="13_ncr:1_{CBEE7FAE-945A-4BD3-977A-DD1F81392111}" xr6:coauthVersionLast="47" xr6:coauthVersionMax="47" xr10:uidLastSave="{00000000-0000-0000-0000-000000000000}"/>
  <bookViews>
    <workbookView xWindow="-120" yWindow="-120" windowWidth="29040" windowHeight="1584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ADJUDICADA'!$A$1:$L$23</definedName>
    <definedName name="_xlnm.Print_Area" localSheetId="1">valoración!$A$2:$X$23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6" l="1"/>
  <c r="L10" i="6"/>
  <c r="L9" i="6"/>
  <c r="K17" i="6"/>
  <c r="K19" i="6" s="1"/>
  <c r="K18" i="6"/>
  <c r="K15" i="6"/>
  <c r="K13" i="6"/>
  <c r="K11" i="6"/>
  <c r="K9" i="6"/>
  <c r="X9" i="5"/>
  <c r="J10" i="6"/>
  <c r="J11" i="6"/>
  <c r="J12" i="6"/>
  <c r="J13" i="6"/>
  <c r="J14" i="6"/>
  <c r="J15" i="6"/>
  <c r="J16" i="6"/>
  <c r="J17" i="6"/>
  <c r="J18" i="6"/>
  <c r="J9" i="6"/>
  <c r="P9" i="5"/>
  <c r="H17" i="6"/>
  <c r="H18" i="6"/>
  <c r="H10" i="6"/>
  <c r="C19" i="6"/>
  <c r="L15" i="6"/>
  <c r="L16" i="6"/>
  <c r="L14" i="6"/>
  <c r="H12" i="6"/>
  <c r="L11" i="6"/>
  <c r="L13" i="6"/>
  <c r="X20" i="5"/>
  <c r="Q20" i="5"/>
  <c r="J20" i="5"/>
  <c r="T18" i="5"/>
  <c r="T17" i="5"/>
  <c r="T16" i="5"/>
  <c r="T15" i="5"/>
  <c r="T14" i="5"/>
  <c r="T13" i="5"/>
  <c r="T12" i="5"/>
  <c r="T11" i="5"/>
  <c r="T10" i="5"/>
  <c r="T9" i="5"/>
  <c r="S10" i="5"/>
  <c r="S9" i="5"/>
  <c r="F10" i="5"/>
  <c r="G10" i="5" s="1"/>
  <c r="F9" i="5"/>
  <c r="L18" i="5"/>
  <c r="L17" i="5"/>
  <c r="L16" i="5"/>
  <c r="L15" i="5"/>
  <c r="L14" i="5"/>
  <c r="L13" i="5"/>
  <c r="L12" i="5"/>
  <c r="L11" i="5"/>
  <c r="L9" i="5"/>
  <c r="L10" i="5"/>
  <c r="C19" i="5"/>
  <c r="I16" i="5" s="1"/>
  <c r="F18" i="5"/>
  <c r="F17" i="5"/>
  <c r="F16" i="5"/>
  <c r="G16" i="5" s="1"/>
  <c r="F15" i="5"/>
  <c r="G15" i="5" s="1"/>
  <c r="F14" i="5"/>
  <c r="G14" i="5" s="1"/>
  <c r="F13" i="5"/>
  <c r="G13" i="5" s="1"/>
  <c r="F12" i="5"/>
  <c r="F11" i="5"/>
  <c r="S16" i="5"/>
  <c r="S15" i="5"/>
  <c r="S14" i="5"/>
  <c r="S13" i="5"/>
  <c r="H14" i="6" l="1"/>
  <c r="H13" i="6"/>
  <c r="H15" i="6"/>
  <c r="H9" i="6"/>
  <c r="H16" i="6"/>
  <c r="L12" i="6"/>
  <c r="H11" i="6"/>
  <c r="I10" i="5"/>
  <c r="I12" i="5"/>
  <c r="I18" i="5"/>
  <c r="I14" i="5"/>
  <c r="G9" i="5"/>
  <c r="L17" i="6" l="1"/>
  <c r="A4" i="6" l="1"/>
  <c r="A3" i="6"/>
  <c r="A2" i="6"/>
  <c r="W11" i="5" l="1"/>
  <c r="S18" i="5"/>
  <c r="G18" i="5"/>
  <c r="S17" i="5"/>
  <c r="G17" i="5"/>
  <c r="S12" i="5"/>
  <c r="G12" i="5"/>
  <c r="S11" i="5"/>
  <c r="G11" i="5"/>
  <c r="P11" i="5" l="1"/>
  <c r="P17" i="5"/>
  <c r="J10" i="5"/>
  <c r="W9" i="5"/>
  <c r="J12" i="5"/>
  <c r="U14" i="5"/>
  <c r="U15" i="5"/>
  <c r="U16" i="5"/>
  <c r="U13" i="5"/>
  <c r="M14" i="5"/>
  <c r="N14" i="5" s="1"/>
  <c r="M13" i="5"/>
  <c r="N13" i="5" s="1"/>
  <c r="M16" i="5"/>
  <c r="N16" i="5" s="1"/>
  <c r="M15" i="5"/>
  <c r="N15" i="5" s="1"/>
  <c r="J18" i="5"/>
  <c r="W17" i="5"/>
  <c r="W12" i="5"/>
  <c r="P18" i="5"/>
  <c r="I9" i="5"/>
  <c r="J9" i="5" s="1"/>
  <c r="P10" i="5"/>
  <c r="J14" i="5"/>
  <c r="W14" i="5"/>
  <c r="I13" i="5"/>
  <c r="J13" i="5" s="1"/>
  <c r="P16" i="5"/>
  <c r="I15" i="5"/>
  <c r="J15" i="5" s="1"/>
  <c r="W13" i="5"/>
  <c r="J16" i="5"/>
  <c r="P14" i="5"/>
  <c r="P13" i="5"/>
  <c r="W15" i="5"/>
  <c r="P15" i="5"/>
  <c r="W16" i="5"/>
  <c r="W10" i="5"/>
  <c r="I11" i="5"/>
  <c r="J11" i="5" s="1"/>
  <c r="P12" i="5"/>
  <c r="U12" i="5"/>
  <c r="U18" i="5"/>
  <c r="U17" i="5"/>
  <c r="U11" i="5"/>
  <c r="X11" i="5" s="1"/>
  <c r="I17" i="5"/>
  <c r="J17" i="5" s="1"/>
  <c r="M18" i="5"/>
  <c r="N18" i="5" s="1"/>
  <c r="M17" i="5"/>
  <c r="N17" i="5" s="1"/>
  <c r="M10" i="5"/>
  <c r="N10" i="5" s="1"/>
  <c r="W18" i="5"/>
  <c r="M12" i="5"/>
  <c r="N12" i="5" s="1"/>
  <c r="M9" i="5"/>
  <c r="N9" i="5" s="1"/>
  <c r="M11" i="5"/>
  <c r="N11" i="5" s="1"/>
  <c r="U10" i="5"/>
  <c r="U9" i="5"/>
  <c r="Q17" i="5" l="1"/>
  <c r="Q11" i="5"/>
  <c r="J19" i="5"/>
  <c r="X13" i="5"/>
  <c r="X16" i="5"/>
  <c r="X14" i="5"/>
  <c r="X15" i="5"/>
  <c r="X12" i="5"/>
  <c r="Q16" i="5"/>
  <c r="Q15" i="5"/>
  <c r="X10" i="5"/>
  <c r="Q18" i="5"/>
  <c r="Q14" i="5"/>
  <c r="Q9" i="5"/>
  <c r="X17" i="5"/>
  <c r="Q12" i="5"/>
  <c r="Q13" i="5"/>
  <c r="Q10" i="5"/>
  <c r="X18" i="5"/>
  <c r="X19" i="5" l="1"/>
  <c r="Q19" i="5"/>
</calcChain>
</file>

<file path=xl/sharedStrings.xml><?xml version="1.0" encoding="utf-8"?>
<sst xmlns="http://schemas.openxmlformats.org/spreadsheetml/2006/main" count="89" uniqueCount="36">
  <si>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</si>
  <si>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</si>
  <si>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</si>
  <si>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</si>
  <si>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</si>
  <si>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</si>
  <si>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</si>
  <si>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</si>
  <si>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</si>
  <si>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</si>
  <si>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</si>
  <si>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</si>
  <si>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</si>
  <si>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</si>
  <si>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</si>
  <si>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</si>
  <si>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</si>
  <si>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</si>
  <si>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</si>
  <si>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</si>
  <si>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S-03713-2024</t>
  </si>
  <si>
    <t>"Transmisores de Onda Media"</t>
  </si>
  <si>
    <t>Lote 1 (Rostrío)</t>
  </si>
  <si>
    <t>Lote 2 (Alcoletge)</t>
  </si>
  <si>
    <t xml:space="preserve">Lote 3 (Pastoriza) </t>
  </si>
  <si>
    <t xml:space="preserve">Lote 4 (Pereiro de Aguiar) </t>
  </si>
  <si>
    <t xml:space="preserve">Lote 5 (San Bernardo) </t>
  </si>
  <si>
    <r>
      <t>Importe Oferta</t>
    </r>
    <r>
      <rPr>
        <b/>
        <i/>
        <sz val="12"/>
        <rFont val="Tahoma"/>
        <family val="2"/>
      </rPr>
      <t xml:space="preserve"> </t>
    </r>
  </si>
  <si>
    <t>AICOX</t>
  </si>
  <si>
    <t>ALTEL</t>
  </si>
  <si>
    <t>Alternativa 2: oferta conjunta "Aicox" por los cinco lotes (11,587% de descuento)</t>
  </si>
  <si>
    <t>Alternativa 2: oferta conjunta "Altel" por los  cinco lotes (7,3% de decuento)</t>
  </si>
  <si>
    <t>Importe Oferta</t>
  </si>
  <si>
    <t>Madrid, a 10 de octubre de 2024</t>
  </si>
  <si>
    <t>Valor estimado</t>
  </si>
  <si>
    <t>Importe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</si>
</sst>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0.0%"/>
    <numFmt numFmtId="168" formatCode="0.000%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0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4" fontId="9" fillId="4" borderId="16" xfId="0" applyNumberFormat="1" applyFont="1" applyFill="1" applyBorder="1" applyAlignment="1">
      <alignment horizontal="right" vertical="center" indent="1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1" xfId="0" applyNumberFormat="1" applyFont="1" applyFill="1" applyBorder="1" applyAlignment="1">
      <alignment horizontal="left" vertical="top" wrapText="1"/>
    </xf>
    <xf numFmtId="43" fontId="5" fillId="0" borderId="22" xfId="2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0" fontId="0" fillId="5" borderId="0" xfId="0" applyFill="1"/>
    <xf numFmtId="165" fontId="5" fillId="5" borderId="12" xfId="2" applyNumberFormat="1" applyFont="1" applyFill="1" applyBorder="1" applyAlignment="1">
      <alignment horizontal="center" vertical="center"/>
    </xf>
    <xf numFmtId="43" fontId="5" fillId="5" borderId="13" xfId="2" applyFont="1" applyFill="1" applyBorder="1" applyAlignment="1">
      <alignment horizontal="center" vertical="center"/>
    </xf>
    <xf numFmtId="165" fontId="5" fillId="5" borderId="16" xfId="2" applyNumberFormat="1" applyFont="1" applyFill="1" applyBorder="1" applyAlignment="1">
      <alignment horizontal="center" vertical="center"/>
    </xf>
    <xf numFmtId="43" fontId="5" fillId="5" borderId="17" xfId="2" applyFont="1" applyFill="1" applyBorder="1" applyAlignment="1">
      <alignment horizontal="center" vertical="center"/>
    </xf>
    <xf numFmtId="0" fontId="1" fillId="5" borderId="16" xfId="0" applyFont="1" applyFill="1" applyBorder="1"/>
    <xf numFmtId="4" fontId="6" fillId="5" borderId="25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8" xfId="0" applyNumberFormat="1" applyFont="1" applyFill="1" applyBorder="1" applyAlignment="1">
      <alignment horizontal="right" vertical="center" wrapText="1"/>
    </xf>
    <xf numFmtId="166" fontId="17" fillId="5" borderId="18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6" fillId="5" borderId="21" xfId="0" applyNumberFormat="1" applyFont="1" applyFill="1" applyBorder="1" applyAlignment="1">
      <alignment horizontal="right" vertical="top" wrapText="1"/>
    </xf>
    <xf numFmtId="43" fontId="5" fillId="5" borderId="22" xfId="2" applyFont="1" applyFill="1" applyBorder="1" applyAlignment="1">
      <alignment horizontal="center" vertical="center"/>
    </xf>
    <xf numFmtId="0" fontId="5" fillId="5" borderId="6" xfId="0" applyFont="1" applyFill="1" applyBorder="1"/>
    <xf numFmtId="4" fontId="6" fillId="4" borderId="23" xfId="0" applyNumberFormat="1" applyFont="1" applyFill="1" applyBorder="1" applyAlignment="1">
      <alignment horizontal="center" vertical="center"/>
    </xf>
    <xf numFmtId="4" fontId="6" fillId="4" borderId="24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right" vertical="center" indent="1"/>
    </xf>
    <xf numFmtId="4" fontId="9" fillId="0" borderId="16" xfId="0" applyNumberFormat="1" applyFont="1" applyFill="1" applyBorder="1" applyAlignment="1">
      <alignment horizontal="right" vertical="center" indent="1"/>
    </xf>
    <xf numFmtId="167" fontId="5" fillId="0" borderId="7" xfId="3" applyNumberFormat="1" applyFont="1" applyFill="1" applyBorder="1" applyAlignment="1">
      <alignment horizontal="center" vertical="center"/>
    </xf>
    <xf numFmtId="168" fontId="5" fillId="0" borderId="11" xfId="3" applyNumberFormat="1" applyFont="1" applyFill="1" applyBorder="1" applyAlignment="1">
      <alignment horizontal="center" vertical="center"/>
    </xf>
    <xf numFmtId="168" fontId="5" fillId="0" borderId="7" xfId="3" applyNumberFormat="1" applyFont="1" applyFill="1" applyBorder="1" applyAlignment="1">
      <alignment horizontal="center" vertical="center"/>
    </xf>
    <xf numFmtId="168" fontId="5" fillId="0" borderId="15" xfId="3" applyNumberFormat="1" applyFont="1" applyFill="1" applyBorder="1" applyAlignment="1">
      <alignment horizontal="center" vertical="center"/>
    </xf>
    <xf numFmtId="43" fontId="5" fillId="0" borderId="26" xfId="2" applyFont="1" applyFill="1" applyBorder="1" applyAlignment="1">
      <alignment horizontal="center" vertical="center"/>
    </xf>
    <xf numFmtId="0" fontId="16" fillId="0" borderId="18" xfId="0" applyNumberFormat="1" applyFont="1" applyFill="1" applyBorder="1" applyAlignment="1">
      <alignment horizontal="left" vertical="top" wrapText="1"/>
    </xf>
    <xf numFmtId="166" fontId="3" fillId="0" borderId="18" xfId="0" applyNumberFormat="1" applyFont="1" applyFill="1" applyBorder="1"/>
    <xf numFmtId="9" fontId="18" fillId="5" borderId="4" xfId="3" applyFont="1" applyFill="1" applyBorder="1" applyAlignment="1">
      <alignment horizontal="left" vertical="center"/>
    </xf>
    <xf numFmtId="9" fontId="18" fillId="5" borderId="19" xfId="3" applyFont="1" applyFill="1" applyBorder="1" applyAlignment="1">
      <alignment horizontal="left" vertical="center"/>
    </xf>
    <xf numFmtId="9" fontId="18" fillId="5" borderId="20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" fontId="6" fillId="0" borderId="25" xfId="0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workbookViewId="0">
      <selection activeCell="G19" sqref="G19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8" x14ac:dyDescent="0.25">
      <c r="A2" s="90" t="str">
        <f>valoración!A3</f>
        <v>PROPUESTA DE ADJUDICACIÓN DEL EXPEDIENTE S-03713-2024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62"/>
    </row>
    <row r="3" spans="1:12" ht="18" x14ac:dyDescent="0.25">
      <c r="A3" s="90" t="str">
        <f>valoración!A4</f>
        <v>"Transmisores de Onda Media"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62"/>
    </row>
    <row r="4" spans="1:12" ht="18" x14ac:dyDescent="0.25">
      <c r="A4" s="90" t="str">
        <f>valoración!A5</f>
        <v>RESUMEN PUNTUACIÓN TÉCNICA Y ECONÓMICA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62"/>
    </row>
    <row r="5" spans="1:12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2" ht="13.5" thickBo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</row>
    <row r="7" spans="1:12" ht="30.75" customHeight="1" thickBot="1" x14ac:dyDescent="0.25">
      <c r="A7" s="62"/>
      <c r="B7" s="62"/>
      <c r="C7" s="62"/>
      <c r="D7" s="62"/>
      <c r="E7" s="87" t="s">
        <v>30</v>
      </c>
      <c r="F7" s="88"/>
      <c r="G7" s="88"/>
      <c r="H7" s="88"/>
      <c r="I7" s="88"/>
      <c r="J7" s="88"/>
      <c r="K7" s="89"/>
      <c r="L7" s="62"/>
    </row>
    <row r="8" spans="1:12" ht="3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15</v>
      </c>
      <c r="F8" s="16" t="s">
        <v>32</v>
      </c>
      <c r="G8" s="17" t="s">
        <v>1</v>
      </c>
      <c r="H8" s="17" t="s">
        <v>16</v>
      </c>
      <c r="I8" s="17" t="s">
        <v>9</v>
      </c>
      <c r="J8" s="17" t="s">
        <v>10</v>
      </c>
      <c r="K8" s="18" t="s">
        <v>11</v>
      </c>
      <c r="L8" s="17" t="s">
        <v>19</v>
      </c>
    </row>
    <row r="9" spans="1:12" ht="35.1" customHeight="1" thickBot="1" x14ac:dyDescent="0.25">
      <c r="A9" s="19" t="s">
        <v>22</v>
      </c>
      <c r="B9" s="59" t="s">
        <v>28</v>
      </c>
      <c r="C9" s="22">
        <v>140000</v>
      </c>
      <c r="D9" s="23">
        <v>50</v>
      </c>
      <c r="E9" s="81">
        <v>0.11587</v>
      </c>
      <c r="F9" s="51">
        <v>123156.7184991</v>
      </c>
      <c r="G9" s="24">
        <v>50</v>
      </c>
      <c r="H9" s="61">
        <f>$D9+G9</f>
        <v>100</v>
      </c>
      <c r="I9" s="63">
        <v>1</v>
      </c>
      <c r="J9" s="34">
        <f>+$C9/$C$19*I9</f>
        <v>0.2</v>
      </c>
      <c r="K9" s="64">
        <f>+H9*J9</f>
        <v>20</v>
      </c>
      <c r="L9" s="76">
        <f>100-($F9*100/$C9)</f>
        <v>12.030915357785716</v>
      </c>
    </row>
    <row r="10" spans="1:12" ht="35.1" customHeight="1" thickBot="1" x14ac:dyDescent="0.25">
      <c r="A10" s="20"/>
      <c r="B10" s="60" t="s">
        <v>29</v>
      </c>
      <c r="C10" s="28">
        <v>140000</v>
      </c>
      <c r="D10" s="29">
        <v>50</v>
      </c>
      <c r="E10" s="82"/>
      <c r="F10" s="52">
        <v>135725</v>
      </c>
      <c r="G10" s="24">
        <v>45.369946030244975</v>
      </c>
      <c r="H10" s="30">
        <f>$D10+G10</f>
        <v>95.369946030244975</v>
      </c>
      <c r="I10" s="67"/>
      <c r="J10" s="34">
        <f t="shared" ref="J10:J18" si="0">+$C10/$C$19*I10</f>
        <v>0</v>
      </c>
      <c r="K10" s="66">
        <v>0</v>
      </c>
      <c r="L10" s="68">
        <f>100-($F10*100/$C10)</f>
        <v>3.0535714285714306</v>
      </c>
    </row>
    <row r="11" spans="1:12" ht="35.1" customHeight="1" thickBot="1" x14ac:dyDescent="0.25">
      <c r="A11" s="19" t="s">
        <v>23</v>
      </c>
      <c r="B11" s="59" t="s">
        <v>28</v>
      </c>
      <c r="C11" s="22">
        <v>140000</v>
      </c>
      <c r="D11" s="23">
        <v>50</v>
      </c>
      <c r="E11" s="81">
        <v>0.11587</v>
      </c>
      <c r="F11" s="51">
        <v>123156.7184991</v>
      </c>
      <c r="G11" s="24">
        <v>50</v>
      </c>
      <c r="H11" s="57">
        <f t="shared" ref="H11:H18" si="1">$D11+G11</f>
        <v>100</v>
      </c>
      <c r="I11" s="63">
        <v>1</v>
      </c>
      <c r="J11" s="34">
        <f t="shared" si="0"/>
        <v>0.2</v>
      </c>
      <c r="K11" s="64">
        <f>+H11*J11</f>
        <v>20</v>
      </c>
      <c r="L11" s="76">
        <f>100-($F11*100/$C11)</f>
        <v>12.030915357785716</v>
      </c>
    </row>
    <row r="12" spans="1:12" ht="35.1" customHeight="1" thickBot="1" x14ac:dyDescent="0.25">
      <c r="A12" s="20"/>
      <c r="B12" s="60" t="s">
        <v>29</v>
      </c>
      <c r="C12" s="28">
        <v>140000</v>
      </c>
      <c r="D12" s="29">
        <v>50</v>
      </c>
      <c r="E12" s="82"/>
      <c r="F12" s="52">
        <v>136265</v>
      </c>
      <c r="G12" s="24">
        <v>45.190150992221042</v>
      </c>
      <c r="H12" s="30">
        <f t="shared" si="1"/>
        <v>95.190150992221049</v>
      </c>
      <c r="I12" s="67"/>
      <c r="J12" s="34">
        <f t="shared" si="0"/>
        <v>0</v>
      </c>
      <c r="K12" s="66">
        <v>0</v>
      </c>
      <c r="L12" s="68">
        <f t="shared" ref="L12:L17" si="2">100-($F12*100/$C12)</f>
        <v>2.6678571428571445</v>
      </c>
    </row>
    <row r="13" spans="1:12" ht="35.1" customHeight="1" thickBot="1" x14ac:dyDescent="0.25">
      <c r="A13" s="19" t="s">
        <v>24</v>
      </c>
      <c r="B13" s="59" t="s">
        <v>28</v>
      </c>
      <c r="C13" s="22">
        <v>140000</v>
      </c>
      <c r="D13" s="23">
        <v>50</v>
      </c>
      <c r="E13" s="81">
        <v>0.11587</v>
      </c>
      <c r="F13" s="51">
        <v>123156.7184991</v>
      </c>
      <c r="G13" s="24">
        <v>50</v>
      </c>
      <c r="H13" s="57">
        <f t="shared" si="1"/>
        <v>100</v>
      </c>
      <c r="I13" s="63">
        <v>1</v>
      </c>
      <c r="J13" s="34">
        <f t="shared" si="0"/>
        <v>0.2</v>
      </c>
      <c r="K13" s="64">
        <f>+H13*J13</f>
        <v>20</v>
      </c>
      <c r="L13" s="76">
        <f>100-($F13*100/$C13)</f>
        <v>12.030915357785716</v>
      </c>
    </row>
    <row r="14" spans="1:12" ht="35.1" customHeight="1" thickBot="1" x14ac:dyDescent="0.25">
      <c r="A14" s="21"/>
      <c r="B14" s="60" t="s">
        <v>29</v>
      </c>
      <c r="C14" s="28">
        <v>140000</v>
      </c>
      <c r="D14" s="29">
        <v>50</v>
      </c>
      <c r="E14" s="83"/>
      <c r="F14" s="53">
        <v>137160</v>
      </c>
      <c r="G14" s="24">
        <v>44.895275043416447</v>
      </c>
      <c r="H14" s="79">
        <f t="shared" si="1"/>
        <v>94.895275043416447</v>
      </c>
      <c r="I14" s="67"/>
      <c r="J14" s="34">
        <f t="shared" si="0"/>
        <v>0</v>
      </c>
      <c r="K14" s="66">
        <v>0</v>
      </c>
      <c r="L14" s="68">
        <f t="shared" si="2"/>
        <v>2.0285714285714249</v>
      </c>
    </row>
    <row r="15" spans="1:12" ht="35.1" customHeight="1" thickBot="1" x14ac:dyDescent="0.25">
      <c r="A15" s="19" t="s">
        <v>25</v>
      </c>
      <c r="B15" s="59" t="s">
        <v>28</v>
      </c>
      <c r="C15" s="22">
        <v>140000</v>
      </c>
      <c r="D15" s="23">
        <v>50</v>
      </c>
      <c r="E15" s="81">
        <v>0.11587</v>
      </c>
      <c r="F15" s="51">
        <v>123156.7184991</v>
      </c>
      <c r="G15" s="24">
        <v>50</v>
      </c>
      <c r="H15" s="57">
        <f t="shared" si="1"/>
        <v>100</v>
      </c>
      <c r="I15" s="63">
        <v>1</v>
      </c>
      <c r="J15" s="34">
        <f t="shared" si="0"/>
        <v>0.2</v>
      </c>
      <c r="K15" s="64">
        <f>+H15*J15</f>
        <v>20</v>
      </c>
      <c r="L15" s="76">
        <f>100-($F15*100/$C15)</f>
        <v>12.030915357785716</v>
      </c>
    </row>
    <row r="16" spans="1:12" ht="35.1" customHeight="1" thickBot="1" x14ac:dyDescent="0.25">
      <c r="A16" s="21"/>
      <c r="B16" s="60" t="s">
        <v>29</v>
      </c>
      <c r="C16" s="28">
        <v>140000</v>
      </c>
      <c r="D16" s="29">
        <v>50</v>
      </c>
      <c r="E16" s="83"/>
      <c r="F16" s="53">
        <v>136150</v>
      </c>
      <c r="G16" s="24">
        <v>45.2283211528094</v>
      </c>
      <c r="H16" s="79">
        <f t="shared" si="1"/>
        <v>95.2283211528094</v>
      </c>
      <c r="I16" s="67"/>
      <c r="J16" s="34">
        <f t="shared" si="0"/>
        <v>0</v>
      </c>
      <c r="K16" s="66">
        <v>0</v>
      </c>
      <c r="L16" s="68">
        <f t="shared" si="2"/>
        <v>2.75</v>
      </c>
    </row>
    <row r="17" spans="1:12" ht="35.1" customHeight="1" thickBot="1" x14ac:dyDescent="0.25">
      <c r="A17" s="19" t="s">
        <v>26</v>
      </c>
      <c r="B17" s="59" t="s">
        <v>28</v>
      </c>
      <c r="C17" s="22">
        <v>140000</v>
      </c>
      <c r="D17" s="23">
        <v>50</v>
      </c>
      <c r="E17" s="81">
        <v>0.11587</v>
      </c>
      <c r="F17" s="51">
        <v>123156.7184991</v>
      </c>
      <c r="G17" s="24">
        <v>50</v>
      </c>
      <c r="H17" s="57">
        <f t="shared" si="1"/>
        <v>100</v>
      </c>
      <c r="I17" s="63">
        <v>1</v>
      </c>
      <c r="J17" s="34">
        <f t="shared" si="0"/>
        <v>0.2</v>
      </c>
      <c r="K17" s="64">
        <f>+H17*J17</f>
        <v>20</v>
      </c>
      <c r="L17" s="77">
        <f t="shared" si="2"/>
        <v>12.030915357785716</v>
      </c>
    </row>
    <row r="18" spans="1:12" ht="35.1" customHeight="1" thickBot="1" x14ac:dyDescent="0.25">
      <c r="A18" s="21"/>
      <c r="B18" s="60" t="s">
        <v>29</v>
      </c>
      <c r="C18" s="28">
        <v>140000</v>
      </c>
      <c r="D18" s="29">
        <v>50</v>
      </c>
      <c r="E18" s="83"/>
      <c r="F18" s="53">
        <v>134270</v>
      </c>
      <c r="G18" s="24">
        <v>45.86159175508304</v>
      </c>
      <c r="H18" s="27">
        <f t="shared" si="1"/>
        <v>95.86159175508304</v>
      </c>
      <c r="I18" s="65"/>
      <c r="J18" s="34">
        <f t="shared" si="0"/>
        <v>0</v>
      </c>
      <c r="K18" s="64">
        <f>+H18*J18</f>
        <v>0</v>
      </c>
      <c r="L18" s="99">
        <f>100-($F18*100/$C18)</f>
        <v>4.0928571428571416</v>
      </c>
    </row>
    <row r="19" spans="1:12" ht="45.75" thickBot="1" x14ac:dyDescent="0.25">
      <c r="A19" s="69"/>
      <c r="B19" s="70" t="s">
        <v>12</v>
      </c>
      <c r="C19" s="71">
        <f>+C10+C12+C14+C16+C18</f>
        <v>700000</v>
      </c>
      <c r="D19" s="72"/>
      <c r="E19" s="72"/>
      <c r="F19" s="72"/>
      <c r="G19" s="72"/>
      <c r="H19" s="72"/>
      <c r="I19" s="72"/>
      <c r="J19" s="73" t="s">
        <v>18</v>
      </c>
      <c r="K19" s="74">
        <f>SUM(K9:K18)</f>
        <v>100</v>
      </c>
      <c r="L19" s="62"/>
    </row>
    <row r="20" spans="1:12" x14ac:dyDescent="0.2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</row>
    <row r="21" spans="1:12" x14ac:dyDescent="0.2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</row>
    <row r="22" spans="1:12" ht="14.25" x14ac:dyDescent="0.2">
      <c r="A22" s="75" t="s">
        <v>2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</row>
    <row r="23" spans="1:12" ht="14.25" x14ac:dyDescent="0.2">
      <c r="A23" s="75" t="s">
        <v>33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</row>
    <row r="24" spans="1:12" x14ac:dyDescent="0.2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</row>
  </sheetData>
  <mergeCells count="4">
    <mergeCell ref="E7:K7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5"/>
  <sheetViews>
    <sheetView showGridLines="0" showZeros="0" zoomScaleNormal="100" workbookViewId="0">
      <selection activeCell="K7" sqref="K7:Q7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24" width="16.7109375" style="10" customWidth="1"/>
    <col min="25" max="16384" width="11.42578125" style="10"/>
  </cols>
  <sheetData>
    <row r="1" spans="1:28" x14ac:dyDescent="0.2">
      <c r="AA1" s="12" t="s">
        <v>6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17</v>
      </c>
      <c r="AB2" s="14">
        <v>50</v>
      </c>
    </row>
    <row r="3" spans="1:28" s="3" customFormat="1" ht="22.5" customHeight="1" x14ac:dyDescent="0.15">
      <c r="A3" s="98" t="s">
        <v>20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AA3" s="32" t="s">
        <v>8</v>
      </c>
    </row>
    <row r="4" spans="1:28" s="3" customFormat="1" ht="22.5" customHeight="1" x14ac:dyDescent="0.15">
      <c r="A4" s="98" t="s">
        <v>21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</row>
    <row r="5" spans="1:28" s="3" customFormat="1" ht="24.6" customHeight="1" x14ac:dyDescent="0.15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</row>
    <row r="6" spans="1:28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28" s="3" customFormat="1" ht="24.75" customHeight="1" thickBot="1" x14ac:dyDescent="0.3">
      <c r="A7" s="2"/>
      <c r="B7" s="6"/>
      <c r="C7" s="7"/>
      <c r="D7" s="7"/>
      <c r="E7" s="92" t="s">
        <v>14</v>
      </c>
      <c r="F7" s="93"/>
      <c r="G7" s="93"/>
      <c r="H7" s="93"/>
      <c r="I7" s="93"/>
      <c r="J7" s="94"/>
      <c r="K7" s="95" t="s">
        <v>30</v>
      </c>
      <c r="L7" s="96"/>
      <c r="M7" s="96"/>
      <c r="N7" s="96"/>
      <c r="O7" s="96"/>
      <c r="P7" s="96"/>
      <c r="Q7" s="97"/>
      <c r="R7" s="95" t="s">
        <v>31</v>
      </c>
      <c r="S7" s="96"/>
      <c r="T7" s="96"/>
      <c r="U7" s="96"/>
      <c r="V7" s="96"/>
      <c r="W7" s="96"/>
      <c r="X7" s="97"/>
    </row>
    <row r="8" spans="1:28" s="8" customFormat="1" ht="3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27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27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  <c r="R8" s="16" t="s">
        <v>15</v>
      </c>
      <c r="S8" s="16" t="s">
        <v>32</v>
      </c>
      <c r="T8" s="17" t="s">
        <v>1</v>
      </c>
      <c r="U8" s="17" t="s">
        <v>16</v>
      </c>
      <c r="V8" s="17" t="s">
        <v>9</v>
      </c>
      <c r="W8" s="17" t="s">
        <v>10</v>
      </c>
      <c r="X8" s="18" t="s">
        <v>11</v>
      </c>
    </row>
    <row r="9" spans="1:28" s="3" customFormat="1" ht="35.1" customHeight="1" thickBot="1" x14ac:dyDescent="0.2">
      <c r="A9" s="19" t="s">
        <v>22</v>
      </c>
      <c r="B9" s="59" t="s">
        <v>28</v>
      </c>
      <c r="C9" s="22">
        <v>140000</v>
      </c>
      <c r="D9" s="23">
        <v>50</v>
      </c>
      <c r="E9" s="22">
        <v>139297.07</v>
      </c>
      <c r="F9" s="24">
        <f>$AB$2*(MIN(E$9:E$10)/E9)</f>
        <v>48.717822995128323</v>
      </c>
      <c r="G9" s="24">
        <f>D9+F9</f>
        <v>98.71782299512833</v>
      </c>
      <c r="H9" s="43"/>
      <c r="I9" s="34">
        <f t="shared" ref="I9:I18" si="0">+$C9/$C$19*H9</f>
        <v>0</v>
      </c>
      <c r="J9" s="35">
        <f t="shared" ref="J9:J18" si="1">+G9*I9</f>
        <v>0</v>
      </c>
      <c r="K9" s="81">
        <v>0.11587</v>
      </c>
      <c r="L9" s="51">
        <f t="shared" ref="L9:L18" si="2">+$E9*(1-K9)</f>
        <v>123156.7184991</v>
      </c>
      <c r="M9" s="24">
        <f>$AB$2*(MIN(L$9:L$10)/L9)</f>
        <v>50</v>
      </c>
      <c r="N9" s="61">
        <f>$D9+M9</f>
        <v>100</v>
      </c>
      <c r="O9" s="33">
        <v>1</v>
      </c>
      <c r="P9" s="34">
        <f>+$C9/$C$19*O9</f>
        <v>0.2</v>
      </c>
      <c r="Q9" s="35">
        <f>+N9*P9</f>
        <v>20</v>
      </c>
      <c r="R9" s="50"/>
      <c r="S9" s="51">
        <f>+$E9*(1-R9)</f>
        <v>139297.07</v>
      </c>
      <c r="T9" s="24">
        <f>$AB$2*(MIN(S$9:S$10)/S9)</f>
        <v>45.16142191648396</v>
      </c>
      <c r="U9" s="24">
        <f>$D9+T9</f>
        <v>95.16142191648396</v>
      </c>
      <c r="V9" s="33"/>
      <c r="W9" s="34">
        <f t="shared" ref="W9:W18" si="3">+$C9/$C$19*V9</f>
        <v>0</v>
      </c>
      <c r="X9" s="35">
        <f>+U9*W9</f>
        <v>0</v>
      </c>
    </row>
    <row r="10" spans="1:28" s="3" customFormat="1" ht="35.1" customHeight="1" thickBot="1" x14ac:dyDescent="0.2">
      <c r="A10" s="20"/>
      <c r="B10" s="60" t="s">
        <v>29</v>
      </c>
      <c r="C10" s="28">
        <v>140000</v>
      </c>
      <c r="D10" s="29">
        <v>50</v>
      </c>
      <c r="E10" s="28">
        <v>135725</v>
      </c>
      <c r="F10" s="24">
        <f>$AB$2*(MIN(E$9:E$10)/E10)</f>
        <v>50</v>
      </c>
      <c r="G10" s="26">
        <f>D10+F10</f>
        <v>100</v>
      </c>
      <c r="H10" s="44">
        <v>1</v>
      </c>
      <c r="I10" s="36">
        <f t="shared" si="0"/>
        <v>0.2</v>
      </c>
      <c r="J10" s="37">
        <f t="shared" si="1"/>
        <v>20</v>
      </c>
      <c r="K10" s="82"/>
      <c r="L10" s="52">
        <f t="shared" si="2"/>
        <v>135725</v>
      </c>
      <c r="M10" s="24">
        <f>$AB$2*(MIN(L$9:L$10)/L10)</f>
        <v>45.369946030244975</v>
      </c>
      <c r="N10" s="30">
        <f>$D10+M10</f>
        <v>95.369946030244975</v>
      </c>
      <c r="O10" s="45"/>
      <c r="P10" s="36">
        <f t="shared" ref="P10:P18" si="4">+$C10/$C$19*O10</f>
        <v>0</v>
      </c>
      <c r="Q10" s="37">
        <f t="shared" ref="Q10:Q18" si="5">+N10*P10</f>
        <v>0</v>
      </c>
      <c r="R10" s="80">
        <v>7.2999999999999995E-2</v>
      </c>
      <c r="S10" s="52">
        <f>+$E10*(1-R10)</f>
        <v>125817.07500000001</v>
      </c>
      <c r="T10" s="24">
        <f>$AB$2*(MIN(S$9:S$10)/S10)</f>
        <v>50</v>
      </c>
      <c r="U10" s="25">
        <f t="shared" ref="U10:U18" si="6">$D10+T10</f>
        <v>100</v>
      </c>
      <c r="V10" s="38">
        <v>1</v>
      </c>
      <c r="W10" s="36">
        <f t="shared" si="3"/>
        <v>0.2</v>
      </c>
      <c r="X10" s="37">
        <f t="shared" ref="X10:X18" si="7">+U10*W10</f>
        <v>20</v>
      </c>
    </row>
    <row r="11" spans="1:28" s="3" customFormat="1" ht="35.1" customHeight="1" thickBot="1" x14ac:dyDescent="0.2">
      <c r="A11" s="19" t="s">
        <v>23</v>
      </c>
      <c r="B11" s="59" t="s">
        <v>28</v>
      </c>
      <c r="C11" s="22">
        <v>140000</v>
      </c>
      <c r="D11" s="23">
        <v>50</v>
      </c>
      <c r="E11" s="22">
        <v>139297.07</v>
      </c>
      <c r="F11" s="24">
        <f>$AB$2*(MIN(E$11:E$12)/E11)</f>
        <v>48.911653346333843</v>
      </c>
      <c r="G11" s="24">
        <f t="shared" ref="G11:G18" si="8">D11+F11</f>
        <v>98.91165334633385</v>
      </c>
      <c r="H11" s="43"/>
      <c r="I11" s="34">
        <f t="shared" si="0"/>
        <v>0</v>
      </c>
      <c r="J11" s="35">
        <f t="shared" si="1"/>
        <v>0</v>
      </c>
      <c r="K11" s="81">
        <v>0.11587</v>
      </c>
      <c r="L11" s="51">
        <f t="shared" si="2"/>
        <v>123156.7184991</v>
      </c>
      <c r="M11" s="24">
        <f t="shared" ref="M11:M18" si="9">$AB$2*(MIN(L$11:L$12)/L11)</f>
        <v>50</v>
      </c>
      <c r="N11" s="57">
        <f t="shared" ref="N11:N18" si="10">$D11+M11</f>
        <v>100</v>
      </c>
      <c r="O11" s="33">
        <v>1</v>
      </c>
      <c r="P11" s="34">
        <f t="shared" si="4"/>
        <v>0.2</v>
      </c>
      <c r="Q11" s="35">
        <f t="shared" si="5"/>
        <v>20</v>
      </c>
      <c r="R11" s="80"/>
      <c r="S11" s="51">
        <f t="shared" ref="S11:S18" si="11">+$E11*(1-R11)</f>
        <v>139297.07</v>
      </c>
      <c r="T11" s="24">
        <f>$AB$2*(MIN(S$11:S$12)/S11)</f>
        <v>45.341102652051482</v>
      </c>
      <c r="U11" s="24">
        <f t="shared" si="6"/>
        <v>95.341102652051489</v>
      </c>
      <c r="V11" s="47"/>
      <c r="W11" s="34">
        <f t="shared" si="3"/>
        <v>0</v>
      </c>
      <c r="X11" s="35">
        <f t="shared" si="7"/>
        <v>0</v>
      </c>
    </row>
    <row r="12" spans="1:28" s="3" customFormat="1" ht="35.1" customHeight="1" thickBot="1" x14ac:dyDescent="0.2">
      <c r="A12" s="20"/>
      <c r="B12" s="60" t="s">
        <v>29</v>
      </c>
      <c r="C12" s="28">
        <v>140000</v>
      </c>
      <c r="D12" s="29">
        <v>50</v>
      </c>
      <c r="E12" s="28">
        <v>136265</v>
      </c>
      <c r="F12" s="24">
        <f>$AB$2*(MIN(E$11:E$12)/E12)</f>
        <v>50</v>
      </c>
      <c r="G12" s="25">
        <f t="shared" si="8"/>
        <v>100</v>
      </c>
      <c r="H12" s="44">
        <v>1</v>
      </c>
      <c r="I12" s="36">
        <f t="shared" si="0"/>
        <v>0.2</v>
      </c>
      <c r="J12" s="37">
        <f t="shared" si="1"/>
        <v>20</v>
      </c>
      <c r="K12" s="82"/>
      <c r="L12" s="52">
        <f t="shared" si="2"/>
        <v>136265</v>
      </c>
      <c r="M12" s="24">
        <f t="shared" si="9"/>
        <v>45.190150992221042</v>
      </c>
      <c r="N12" s="30">
        <f t="shared" si="10"/>
        <v>95.190150992221049</v>
      </c>
      <c r="O12" s="45"/>
      <c r="P12" s="36">
        <f t="shared" si="4"/>
        <v>0</v>
      </c>
      <c r="Q12" s="37">
        <f t="shared" si="5"/>
        <v>0</v>
      </c>
      <c r="R12" s="80">
        <v>7.2999999999999995E-2</v>
      </c>
      <c r="S12" s="52">
        <f t="shared" si="11"/>
        <v>126317.65500000001</v>
      </c>
      <c r="T12" s="24">
        <f>$AB$2*(MIN(S$11:S$12)/S12)</f>
        <v>50</v>
      </c>
      <c r="U12" s="25">
        <f t="shared" si="6"/>
        <v>100</v>
      </c>
      <c r="V12" s="38">
        <v>1</v>
      </c>
      <c r="W12" s="36">
        <f t="shared" si="3"/>
        <v>0.2</v>
      </c>
      <c r="X12" s="37">
        <f t="shared" si="7"/>
        <v>20</v>
      </c>
    </row>
    <row r="13" spans="1:28" s="3" customFormat="1" ht="35.1" customHeight="1" thickBot="1" x14ac:dyDescent="0.2">
      <c r="A13" s="19" t="s">
        <v>24</v>
      </c>
      <c r="B13" s="59" t="s">
        <v>28</v>
      </c>
      <c r="C13" s="22">
        <v>140000</v>
      </c>
      <c r="D13" s="23">
        <v>50</v>
      </c>
      <c r="E13" s="22">
        <v>139297.07</v>
      </c>
      <c r="F13" s="24">
        <f>$AB$2*(MIN(E$13:E$14)/E13)</f>
        <v>49.232909206202251</v>
      </c>
      <c r="G13" s="24">
        <f t="shared" ref="G13:G15" si="12">D13+F13</f>
        <v>99.232909206202251</v>
      </c>
      <c r="H13" s="43"/>
      <c r="I13" s="34">
        <f t="shared" si="0"/>
        <v>0</v>
      </c>
      <c r="J13" s="35">
        <f t="shared" ref="J13:J16" si="13">+G13*I13</f>
        <v>0</v>
      </c>
      <c r="K13" s="81">
        <v>0.11587</v>
      </c>
      <c r="L13" s="51">
        <f t="shared" si="2"/>
        <v>123156.7184991</v>
      </c>
      <c r="M13" s="24">
        <f t="shared" si="9"/>
        <v>50</v>
      </c>
      <c r="N13" s="57">
        <f t="shared" ref="N13:N16" si="14">$D13+M13</f>
        <v>100</v>
      </c>
      <c r="O13" s="33">
        <v>1</v>
      </c>
      <c r="P13" s="34">
        <f t="shared" si="4"/>
        <v>0.2</v>
      </c>
      <c r="Q13" s="35">
        <f t="shared" ref="Q13:Q16" si="15">+N13*P13</f>
        <v>20</v>
      </c>
      <c r="R13" s="50"/>
      <c r="S13" s="51">
        <f t="shared" ref="S13:S16" si="16">+$E13*(1-R13)</f>
        <v>139297.07</v>
      </c>
      <c r="T13" s="24">
        <f>$AB$2*(MIN(S$13:S$14)/S13)</f>
        <v>45.638906834149488</v>
      </c>
      <c r="U13" s="24">
        <f t="shared" ref="U13:U16" si="17">$D13+T13</f>
        <v>95.638906834149481</v>
      </c>
      <c r="V13" s="47"/>
      <c r="W13" s="34">
        <f t="shared" si="3"/>
        <v>0</v>
      </c>
      <c r="X13" s="35">
        <f t="shared" ref="X13:X16" si="18">+U13*W13</f>
        <v>0</v>
      </c>
    </row>
    <row r="14" spans="1:28" s="3" customFormat="1" ht="35.1" customHeight="1" thickBot="1" x14ac:dyDescent="0.2">
      <c r="A14" s="21"/>
      <c r="B14" s="60" t="s">
        <v>29</v>
      </c>
      <c r="C14" s="28">
        <v>140000</v>
      </c>
      <c r="D14" s="29">
        <v>50</v>
      </c>
      <c r="E14" s="28">
        <v>137160</v>
      </c>
      <c r="F14" s="24">
        <f>$AB$2*(MIN(E$13:E$14)/E14)</f>
        <v>50</v>
      </c>
      <c r="G14" s="49">
        <f t="shared" si="12"/>
        <v>100</v>
      </c>
      <c r="H14" s="54">
        <v>1</v>
      </c>
      <c r="I14" s="39">
        <f t="shared" si="0"/>
        <v>0.2</v>
      </c>
      <c r="J14" s="40">
        <f t="shared" si="13"/>
        <v>20</v>
      </c>
      <c r="K14" s="83"/>
      <c r="L14" s="53">
        <f t="shared" si="2"/>
        <v>137160</v>
      </c>
      <c r="M14" s="24">
        <f t="shared" si="9"/>
        <v>44.895275043416447</v>
      </c>
      <c r="N14" s="79">
        <f t="shared" si="14"/>
        <v>94.895275043416447</v>
      </c>
      <c r="O14" s="38"/>
      <c r="P14" s="39">
        <f t="shared" si="4"/>
        <v>0</v>
      </c>
      <c r="Q14" s="40">
        <f t="shared" si="15"/>
        <v>0</v>
      </c>
      <c r="R14" s="80">
        <v>7.2999999999999995E-2</v>
      </c>
      <c r="S14" s="53">
        <f t="shared" si="16"/>
        <v>127147.32</v>
      </c>
      <c r="T14" s="24">
        <f>$AB$2*(MIN(S$13:S$14)/S14)</f>
        <v>50</v>
      </c>
      <c r="U14" s="48">
        <f t="shared" si="17"/>
        <v>100</v>
      </c>
      <c r="V14" s="38">
        <v>1</v>
      </c>
      <c r="W14" s="39">
        <f t="shared" si="3"/>
        <v>0.2</v>
      </c>
      <c r="X14" s="40">
        <f t="shared" si="18"/>
        <v>20</v>
      </c>
    </row>
    <row r="15" spans="1:28" s="3" customFormat="1" ht="35.1" customHeight="1" thickBot="1" x14ac:dyDescent="0.2">
      <c r="A15" s="19" t="s">
        <v>25</v>
      </c>
      <c r="B15" s="59" t="s">
        <v>28</v>
      </c>
      <c r="C15" s="22">
        <v>140000</v>
      </c>
      <c r="D15" s="23">
        <v>50</v>
      </c>
      <c r="E15" s="22">
        <v>139297.07</v>
      </c>
      <c r="F15" s="24">
        <f>$AB$2*(MIN(E$15:E$16)/E15)</f>
        <v>48.870374660428965</v>
      </c>
      <c r="G15" s="24">
        <f t="shared" si="12"/>
        <v>98.870374660428965</v>
      </c>
      <c r="H15" s="43"/>
      <c r="I15" s="34">
        <f t="shared" si="0"/>
        <v>0</v>
      </c>
      <c r="J15" s="35">
        <f t="shared" si="13"/>
        <v>0</v>
      </c>
      <c r="K15" s="81">
        <v>0.11587</v>
      </c>
      <c r="L15" s="51">
        <f t="shared" si="2"/>
        <v>123156.7184991</v>
      </c>
      <c r="M15" s="24">
        <f t="shared" si="9"/>
        <v>50</v>
      </c>
      <c r="N15" s="57">
        <f t="shared" si="14"/>
        <v>100</v>
      </c>
      <c r="O15" s="33">
        <v>1</v>
      </c>
      <c r="P15" s="34">
        <f t="shared" si="4"/>
        <v>0.2</v>
      </c>
      <c r="Q15" s="35">
        <f t="shared" si="15"/>
        <v>20</v>
      </c>
      <c r="R15" s="50"/>
      <c r="S15" s="51">
        <f t="shared" si="16"/>
        <v>139297.07</v>
      </c>
      <c r="T15" s="24">
        <f>$AB$2*(MIN(S$15:S$16)/S15)</f>
        <v>45.302837310217654</v>
      </c>
      <c r="U15" s="24">
        <f t="shared" si="17"/>
        <v>95.302837310217654</v>
      </c>
      <c r="V15" s="47"/>
      <c r="W15" s="34">
        <f t="shared" si="3"/>
        <v>0</v>
      </c>
      <c r="X15" s="35">
        <f t="shared" si="18"/>
        <v>0</v>
      </c>
    </row>
    <row r="16" spans="1:28" s="3" customFormat="1" ht="35.1" customHeight="1" thickBot="1" x14ac:dyDescent="0.2">
      <c r="A16" s="21"/>
      <c r="B16" s="60" t="s">
        <v>29</v>
      </c>
      <c r="C16" s="28">
        <v>140000</v>
      </c>
      <c r="D16" s="29">
        <v>50</v>
      </c>
      <c r="E16" s="28">
        <v>136150</v>
      </c>
      <c r="F16" s="24">
        <f>$AB$2*(MIN(E$15:E$16)/E16)</f>
        <v>50</v>
      </c>
      <c r="G16" s="49">
        <f>D16+F16</f>
        <v>100</v>
      </c>
      <c r="H16" s="54">
        <v>1</v>
      </c>
      <c r="I16" s="39">
        <f t="shared" si="0"/>
        <v>0.2</v>
      </c>
      <c r="J16" s="40">
        <f t="shared" si="13"/>
        <v>20</v>
      </c>
      <c r="K16" s="83"/>
      <c r="L16" s="53">
        <f t="shared" si="2"/>
        <v>136150</v>
      </c>
      <c r="M16" s="24">
        <f t="shared" si="9"/>
        <v>45.2283211528094</v>
      </c>
      <c r="N16" s="79">
        <f t="shared" si="14"/>
        <v>95.2283211528094</v>
      </c>
      <c r="O16" s="38"/>
      <c r="P16" s="39">
        <f t="shared" si="4"/>
        <v>0</v>
      </c>
      <c r="Q16" s="40">
        <f t="shared" si="15"/>
        <v>0</v>
      </c>
      <c r="R16" s="80">
        <v>7.2999999999999995E-2</v>
      </c>
      <c r="S16" s="53">
        <f t="shared" si="16"/>
        <v>126211.05</v>
      </c>
      <c r="T16" s="24">
        <f>$AB$2*(MIN(S$15:S$16)/S16)</f>
        <v>50</v>
      </c>
      <c r="U16" s="48">
        <f t="shared" si="17"/>
        <v>100</v>
      </c>
      <c r="V16" s="38">
        <v>1</v>
      </c>
      <c r="W16" s="39">
        <f t="shared" si="3"/>
        <v>0.2</v>
      </c>
      <c r="X16" s="40">
        <f t="shared" si="18"/>
        <v>20</v>
      </c>
    </row>
    <row r="17" spans="1:24" s="3" customFormat="1" ht="35.1" customHeight="1" thickBot="1" x14ac:dyDescent="0.2">
      <c r="A17" s="19" t="s">
        <v>26</v>
      </c>
      <c r="B17" s="59" t="s">
        <v>28</v>
      </c>
      <c r="C17" s="22">
        <v>140000</v>
      </c>
      <c r="D17" s="23">
        <v>50</v>
      </c>
      <c r="E17" s="22">
        <v>139297.07</v>
      </c>
      <c r="F17" s="24">
        <f>$AB$2*(MIN(E$17:E$18)/E17)</f>
        <v>48.195557882157892</v>
      </c>
      <c r="G17" s="58">
        <f t="shared" si="8"/>
        <v>98.195557882157885</v>
      </c>
      <c r="H17" s="43"/>
      <c r="I17" s="34">
        <f t="shared" si="0"/>
        <v>0</v>
      </c>
      <c r="J17" s="35">
        <f t="shared" si="1"/>
        <v>0</v>
      </c>
      <c r="K17" s="81">
        <v>0.11587</v>
      </c>
      <c r="L17" s="51">
        <f t="shared" si="2"/>
        <v>123156.7184991</v>
      </c>
      <c r="M17" s="24">
        <f t="shared" si="9"/>
        <v>50</v>
      </c>
      <c r="N17" s="57">
        <f t="shared" si="10"/>
        <v>100</v>
      </c>
      <c r="O17" s="33">
        <v>1</v>
      </c>
      <c r="P17" s="34">
        <f t="shared" si="4"/>
        <v>0.2</v>
      </c>
      <c r="Q17" s="35">
        <f t="shared" si="5"/>
        <v>20</v>
      </c>
      <c r="R17" s="80"/>
      <c r="S17" s="51">
        <f t="shared" si="11"/>
        <v>139297.07</v>
      </c>
      <c r="T17" s="24">
        <f>$AB$2*(MIN(S$17:S$18)/S17)</f>
        <v>44.67728215676037</v>
      </c>
      <c r="U17" s="24">
        <f t="shared" si="6"/>
        <v>94.67728215676037</v>
      </c>
      <c r="V17" s="38"/>
      <c r="W17" s="34">
        <f t="shared" si="3"/>
        <v>0</v>
      </c>
      <c r="X17" s="35">
        <f t="shared" si="7"/>
        <v>0</v>
      </c>
    </row>
    <row r="18" spans="1:24" s="3" customFormat="1" ht="35.1" customHeight="1" thickBot="1" x14ac:dyDescent="0.2">
      <c r="A18" s="21"/>
      <c r="B18" s="60" t="s">
        <v>29</v>
      </c>
      <c r="C18" s="28">
        <v>140000</v>
      </c>
      <c r="D18" s="29">
        <v>50</v>
      </c>
      <c r="E18" s="28">
        <v>134270</v>
      </c>
      <c r="F18" s="24">
        <f>$AB$2*(MIN(E$17:E$18)/E18)</f>
        <v>50</v>
      </c>
      <c r="G18" s="78">
        <f t="shared" si="8"/>
        <v>100</v>
      </c>
      <c r="H18" s="54">
        <v>1</v>
      </c>
      <c r="I18" s="39">
        <f t="shared" si="0"/>
        <v>0.2</v>
      </c>
      <c r="J18" s="40">
        <f t="shared" si="1"/>
        <v>20</v>
      </c>
      <c r="K18" s="83"/>
      <c r="L18" s="53">
        <f t="shared" si="2"/>
        <v>134270</v>
      </c>
      <c r="M18" s="24">
        <f t="shared" si="9"/>
        <v>45.86159175508304</v>
      </c>
      <c r="N18" s="27">
        <f t="shared" si="10"/>
        <v>95.86159175508304</v>
      </c>
      <c r="O18" s="46"/>
      <c r="P18" s="39">
        <f t="shared" si="4"/>
        <v>0</v>
      </c>
      <c r="Q18" s="40">
        <f t="shared" si="5"/>
        <v>0</v>
      </c>
      <c r="R18" s="80">
        <v>7.2999999999999995E-2</v>
      </c>
      <c r="S18" s="53">
        <f t="shared" si="11"/>
        <v>124468.29000000001</v>
      </c>
      <c r="T18" s="24">
        <f>$AB$2*(MIN(S$17:S$18)/S18)</f>
        <v>50</v>
      </c>
      <c r="U18" s="48">
        <f t="shared" si="6"/>
        <v>100</v>
      </c>
      <c r="V18" s="38">
        <v>1</v>
      </c>
      <c r="W18" s="39">
        <f t="shared" si="3"/>
        <v>0.2</v>
      </c>
      <c r="X18" s="40">
        <f t="shared" si="7"/>
        <v>20</v>
      </c>
    </row>
    <row r="19" spans="1:24" ht="42.75" customHeight="1" thickBot="1" x14ac:dyDescent="0.25">
      <c r="B19" s="41" t="s">
        <v>12</v>
      </c>
      <c r="C19" s="42">
        <f>C9+C11+C17+C13+C15</f>
        <v>700000</v>
      </c>
      <c r="I19" s="85" t="s">
        <v>13</v>
      </c>
      <c r="J19" s="84">
        <f>SUM(J9:J18)</f>
        <v>100</v>
      </c>
      <c r="P19" s="55" t="s">
        <v>13</v>
      </c>
      <c r="Q19" s="56">
        <f>SUM(Q9:Q18)</f>
        <v>100</v>
      </c>
      <c r="W19" s="55" t="s">
        <v>13</v>
      </c>
      <c r="X19" s="56">
        <f>SUM(X9:X18)</f>
        <v>100</v>
      </c>
    </row>
    <row r="20" spans="1:24" ht="15.75" thickBot="1" x14ac:dyDescent="0.25">
      <c r="I20" s="85" t="s">
        <v>35</v>
      </c>
      <c r="J20" s="86">
        <f>+E10+E12+E14+E16+E18</f>
        <v>679570</v>
      </c>
      <c r="P20" s="55" t="s">
        <v>35</v>
      </c>
      <c r="Q20" s="86">
        <f>+L9+L11+L13+L15+L17</f>
        <v>615783.59249549999</v>
      </c>
      <c r="W20" s="55" t="s">
        <v>35</v>
      </c>
      <c r="X20" s="86">
        <f>+S10+S12+S14+S16+S18</f>
        <v>629961.39</v>
      </c>
    </row>
    <row r="22" spans="1:24" ht="14.25" x14ac:dyDescent="0.2">
      <c r="A22" s="1" t="s">
        <v>2</v>
      </c>
    </row>
    <row r="23" spans="1:24" ht="14.25" x14ac:dyDescent="0.2">
      <c r="A23" s="1" t="s">
        <v>33</v>
      </c>
    </row>
    <row r="25" spans="1:24" ht="56.25" customHeight="1" x14ac:dyDescent="0.2">
      <c r="A25" s="91"/>
      <c r="B25" s="91"/>
      <c r="C25" s="91"/>
      <c r="D25" s="91"/>
      <c r="E25" s="91"/>
      <c r="F25" s="91"/>
      <c r="G25" s="91"/>
    </row>
  </sheetData>
  <mergeCells count="7">
    <mergeCell ref="A25:G25"/>
    <mergeCell ref="E7:J7"/>
    <mergeCell ref="K7:Q7"/>
    <mergeCell ref="R7:X7"/>
    <mergeCell ref="A3:X3"/>
    <mergeCell ref="A4:X4"/>
    <mergeCell ref="A5:X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NURIA SANTOME RODRIGUEZ</cp:lastModifiedBy>
  <cp:lastPrinted>2021-11-19T11:28:43Z</cp:lastPrinted>
  <dcterms:created xsi:type="dcterms:W3CDTF">2007-03-30T09:59:06Z</dcterms:created>
  <dcterms:modified xsi:type="dcterms:W3CDTF">2024-10-04T10:14:52Z</dcterms:modified>
</cp:coreProperties>
</file>