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4918-2024 Servicios CDN\Informe\"/>
    </mc:Choice>
  </mc:AlternateContent>
  <xr:revisionPtr revIDLastSave="0" documentId="13_ncr:1_{73887280-9910-4337-A811-07707D7C0FE2}" xr6:coauthVersionLast="47" xr6:coauthVersionMax="47" xr10:uidLastSave="{00000000-0000-0000-0000-000000000000}"/>
  <bookViews>
    <workbookView xWindow="-120" yWindow="-120" windowWidth="29040" windowHeight="15720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ADJUDICADA'!$A$1:$L$19</definedName>
    <definedName name="_xlnm.Print_Area" localSheetId="1">valoración!$A$2:$Q$19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5" l="1"/>
  <c r="L10" i="6"/>
  <c r="L9" i="6"/>
  <c r="D13" i="6"/>
  <c r="D10" i="6"/>
  <c r="D9" i="6"/>
  <c r="C15" i="6"/>
  <c r="D13" i="5"/>
  <c r="D10" i="5"/>
  <c r="D9" i="5"/>
  <c r="C15" i="5"/>
  <c r="F13" i="5" l="1"/>
  <c r="F10" i="5"/>
  <c r="F9" i="5"/>
  <c r="G9" i="5" s="1"/>
  <c r="L13" i="6" l="1"/>
  <c r="A4" i="6" l="1"/>
  <c r="A3" i="6"/>
  <c r="A2" i="6"/>
  <c r="L13" i="5" l="1"/>
  <c r="G13" i="5"/>
  <c r="L10" i="5"/>
  <c r="G10" i="5"/>
  <c r="L9" i="5"/>
  <c r="P9" i="5" l="1"/>
  <c r="I9" i="5"/>
  <c r="J9" i="5" s="1"/>
  <c r="P13" i="5"/>
  <c r="I13" i="5"/>
  <c r="J13" i="5" s="1"/>
  <c r="I10" i="5"/>
  <c r="J10" i="5" s="1"/>
  <c r="P10" i="5"/>
  <c r="N13" i="5"/>
  <c r="M9" i="5"/>
  <c r="N9" i="5" s="1"/>
  <c r="M10" i="5"/>
  <c r="N10" i="5" s="1"/>
  <c r="J15" i="5" l="1"/>
  <c r="Q9" i="5"/>
  <c r="Q10" i="5"/>
  <c r="Q13" i="5"/>
  <c r="Q15" i="5" l="1"/>
</calcChain>
</file>

<file path=xl/sharedStrings.xml><?xml version="1.0" encoding="utf-8"?>
<sst xmlns="http://schemas.openxmlformats.org/spreadsheetml/2006/main" count="80" uniqueCount="35">
  <si>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</si>
  <si>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</si>
  <si>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</si>
  <si>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</si>
  <si>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</si>
  <si>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</si>
  <si>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</si>
  <si>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</si>
  <si>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</si>
  <si>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</si>
  <si>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</si>
  <si>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</si>
  <si>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</si>
  <si>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</si>
  <si>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</si>
  <si>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</si>
  <si>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</si>
  <si>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</si>
  <si>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</si>
  <si>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S-4918-2024</t>
  </si>
  <si>
    <t>"SERVICIOS CDN"</t>
  </si>
  <si>
    <t>LOTE 1: Distribución de contenido web</t>
  </si>
  <si>
    <t>LOTE 2: Distribución de vídeo y audio en directo con origen en CRTVE</t>
  </si>
  <si>
    <t>LOTE 3: Reencapsulado y distribución de directos</t>
  </si>
  <si>
    <t>LOTE 4: Distribución de vídeo y audio bajo demanda</t>
  </si>
  <si>
    <t>Madrid, a 9 de enero de 2025</t>
  </si>
  <si>
    <t>Telefonica Soluciones de Informatica y Comunicaciones de España SAU</t>
  </si>
  <si>
    <t>---</t>
  </si>
  <si>
    <t>Desestimada tecnicamente</t>
  </si>
  <si>
    <t>Importe Oferta</t>
  </si>
  <si>
    <t>Valor estimado</t>
  </si>
  <si>
    <t>DESIERTO</t>
  </si>
  <si>
    <t>CROSSPOINT SAU</t>
  </si>
  <si>
    <t>Alternativa 2: oferta conjunta por los lotes 2 Y 4 (10% de descuento lote 2 y 1% lote 4)</t>
  </si>
  <si>
    <t xml:space="preserve">Valor estimado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</si>
</sst>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19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83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4" fontId="6" fillId="0" borderId="13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right" vertical="center" wrapText="1"/>
    </xf>
    <xf numFmtId="166" fontId="16" fillId="0" borderId="17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0" fontId="1" fillId="0" borderId="12" xfId="0" applyFont="1" applyFill="1" applyBorder="1"/>
    <xf numFmtId="9" fontId="5" fillId="0" borderId="11" xfId="3" applyFont="1" applyFill="1" applyBorder="1" applyAlignment="1">
      <alignment horizontal="center" vertical="center"/>
    </xf>
    <xf numFmtId="0" fontId="15" fillId="0" borderId="20" xfId="0" applyNumberFormat="1" applyFont="1" applyFill="1" applyBorder="1" applyAlignment="1">
      <alignment horizontal="left" vertical="top" wrapText="1"/>
    </xf>
    <xf numFmtId="43" fontId="5" fillId="0" borderId="21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9" fontId="5" fillId="5" borderId="7" xfId="3" applyFont="1" applyFill="1" applyBorder="1" applyAlignment="1">
      <alignment horizontal="center" vertical="center"/>
    </xf>
    <xf numFmtId="0" fontId="1" fillId="5" borderId="2" xfId="0" applyFont="1" applyFill="1" applyBorder="1"/>
    <xf numFmtId="10" fontId="5" fillId="5" borderId="2" xfId="0" applyNumberFormat="1" applyFont="1" applyFill="1" applyBorder="1" applyAlignment="1">
      <alignment horizontal="center" vertical="center"/>
    </xf>
    <xf numFmtId="43" fontId="5" fillId="5" borderId="14" xfId="2" applyFont="1" applyFill="1" applyBorder="1" applyAlignment="1">
      <alignment horizontal="center" vertical="center"/>
    </xf>
    <xf numFmtId="4" fontId="6" fillId="5" borderId="23" xfId="0" applyNumberFormat="1" applyFont="1" applyFill="1" applyBorder="1" applyAlignment="1">
      <alignment horizontal="center" vertical="center"/>
    </xf>
    <xf numFmtId="0" fontId="5" fillId="5" borderId="6" xfId="0" applyFont="1" applyFill="1" applyBorder="1"/>
    <xf numFmtId="0" fontId="18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8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18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44" fontId="6" fillId="0" borderId="11" xfId="0" applyNumberFormat="1" applyFont="1" applyFill="1" applyBorder="1" applyAlignment="1">
      <alignment vertical="center" wrapText="1"/>
    </xf>
    <xf numFmtId="44" fontId="6" fillId="0" borderId="7" xfId="0" applyNumberFormat="1" applyFont="1" applyFill="1" applyBorder="1" applyAlignment="1">
      <alignment vertical="center" wrapText="1"/>
    </xf>
    <xf numFmtId="0" fontId="6" fillId="0" borderId="11" xfId="0" quotePrefix="1" applyNumberFormat="1" applyFont="1" applyFill="1" applyBorder="1" applyAlignment="1">
      <alignment horizontal="center" vertical="center" wrapText="1"/>
    </xf>
    <xf numFmtId="4" fontId="6" fillId="0" borderId="24" xfId="0" applyNumberFormat="1" applyFont="1" applyFill="1" applyBorder="1" applyAlignment="1">
      <alignment horizontal="center" vertical="center"/>
    </xf>
    <xf numFmtId="4" fontId="6" fillId="0" borderId="18" xfId="0" applyNumberFormat="1" applyFont="1" applyFill="1" applyBorder="1" applyAlignment="1">
      <alignment horizontal="center" vertical="center"/>
    </xf>
    <xf numFmtId="4" fontId="6" fillId="0" borderId="19" xfId="0" applyNumberFormat="1" applyFont="1" applyFill="1" applyBorder="1" applyAlignment="1">
      <alignment horizontal="center" vertical="center"/>
    </xf>
    <xf numFmtId="9" fontId="5" fillId="0" borderId="4" xfId="3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9" fontId="5" fillId="0" borderId="19" xfId="3" applyFont="1" applyFill="1" applyBorder="1" applyAlignment="1">
      <alignment horizontal="center" vertical="center"/>
    </xf>
    <xf numFmtId="4" fontId="6" fillId="0" borderId="14" xfId="0" quotePrefix="1" applyNumberFormat="1" applyFont="1" applyFill="1" applyBorder="1" applyAlignment="1">
      <alignment horizontal="center" vertical="center"/>
    </xf>
    <xf numFmtId="166" fontId="6" fillId="0" borderId="25" xfId="0" applyNumberFormat="1" applyFont="1" applyFill="1" applyBorder="1" applyAlignment="1">
      <alignment horizontal="left" vertical="center"/>
    </xf>
    <xf numFmtId="166" fontId="6" fillId="0" borderId="26" xfId="0" applyNumberFormat="1" applyFont="1" applyFill="1" applyBorder="1" applyAlignment="1">
      <alignment horizontal="left" vertical="center"/>
    </xf>
    <xf numFmtId="166" fontId="6" fillId="0" borderId="27" xfId="0" applyNumberFormat="1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 wrapText="1"/>
    </xf>
    <xf numFmtId="4" fontId="6" fillId="5" borderId="28" xfId="0" applyNumberFormat="1" applyFont="1" applyFill="1" applyBorder="1" applyAlignment="1">
      <alignment horizontal="center" vertical="center"/>
    </xf>
    <xf numFmtId="4" fontId="6" fillId="5" borderId="29" xfId="0" applyNumberFormat="1" applyFont="1" applyFill="1" applyBorder="1" applyAlignment="1">
      <alignment horizontal="center" vertical="center"/>
    </xf>
    <xf numFmtId="4" fontId="6" fillId="5" borderId="30" xfId="0" applyNumberFormat="1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center" vertical="center"/>
    </xf>
    <xf numFmtId="166" fontId="6" fillId="5" borderId="15" xfId="0" applyNumberFormat="1" applyFont="1" applyFill="1" applyBorder="1" applyAlignment="1">
      <alignment horizontal="center" vertical="center"/>
    </xf>
    <xf numFmtId="166" fontId="6" fillId="5" borderId="31" xfId="0" applyNumberFormat="1" applyFont="1" applyFill="1" applyBorder="1" applyAlignment="1">
      <alignment horizontal="center" vertical="center"/>
    </xf>
    <xf numFmtId="4" fontId="6" fillId="5" borderId="23" xfId="0" quotePrefix="1" applyNumberFormat="1" applyFont="1" applyFill="1" applyBorder="1" applyAlignment="1">
      <alignment horizontal="center" vertical="center"/>
    </xf>
    <xf numFmtId="4" fontId="6" fillId="0" borderId="22" xfId="0" applyNumberFormat="1" applyFont="1" applyFill="1" applyBorder="1" applyAlignment="1">
      <alignment horizontal="center" vertical="center"/>
    </xf>
    <xf numFmtId="4" fontId="6" fillId="0" borderId="23" xfId="0" quotePrefix="1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workbookViewId="0">
      <selection activeCell="I18" sqref="I18"/>
    </sheetView>
  </sheetViews>
  <sheetFormatPr baseColWidth="10" defaultRowHeight="12.75" x14ac:dyDescent="0.2"/>
  <cols>
    <col min="1" max="1" width="32.85546875" customWidth="1"/>
    <col min="2" max="2" width="28.7109375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8" x14ac:dyDescent="0.25">
      <c r="A2" s="49" t="str">
        <f>valoración!A3</f>
        <v>PROPUESTA DE ADJUDICACIÓN DEL EXPEDIENTE S-4918-2024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2"/>
    </row>
    <row r="3" spans="1:12" ht="18" x14ac:dyDescent="0.25">
      <c r="A3" s="49" t="str">
        <f>valoración!A4</f>
        <v>"SERVICIOS CDN"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2"/>
    </row>
    <row r="4" spans="1:12" ht="18" x14ac:dyDescent="0.25">
      <c r="A4" s="49" t="str">
        <f>valoración!A5</f>
        <v>RESUMEN PUNTUACIÓN TÉCNICA Y ECONÓMICA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2"/>
    </row>
    <row r="5" spans="1:12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2" ht="13.5" thickBot="1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30.75" customHeight="1" thickBot="1" x14ac:dyDescent="0.25">
      <c r="A7" s="42"/>
      <c r="B7" s="42"/>
      <c r="C7" s="42"/>
      <c r="D7" s="42"/>
      <c r="E7" s="54" t="s">
        <v>33</v>
      </c>
      <c r="F7" s="55"/>
      <c r="G7" s="55"/>
      <c r="H7" s="55"/>
      <c r="I7" s="55"/>
      <c r="J7" s="55"/>
      <c r="K7" s="56"/>
      <c r="L7" s="42"/>
    </row>
    <row r="8" spans="1:12" ht="30.75" thickBot="1" x14ac:dyDescent="0.25">
      <c r="A8" s="15" t="s">
        <v>4</v>
      </c>
      <c r="B8" s="16" t="s">
        <v>5</v>
      </c>
      <c r="C8" s="17" t="s">
        <v>34</v>
      </c>
      <c r="D8" s="18" t="s">
        <v>0</v>
      </c>
      <c r="E8" s="16" t="s">
        <v>15</v>
      </c>
      <c r="F8" s="16" t="s">
        <v>29</v>
      </c>
      <c r="G8" s="17" t="s">
        <v>1</v>
      </c>
      <c r="H8" s="17" t="s">
        <v>16</v>
      </c>
      <c r="I8" s="17" t="s">
        <v>9</v>
      </c>
      <c r="J8" s="17" t="s">
        <v>10</v>
      </c>
      <c r="K8" s="18" t="s">
        <v>11</v>
      </c>
      <c r="L8" s="17" t="s">
        <v>18</v>
      </c>
    </row>
    <row r="9" spans="1:12" ht="35.1" customHeight="1" thickBot="1" x14ac:dyDescent="0.25">
      <c r="A9" s="19" t="s">
        <v>21</v>
      </c>
      <c r="B9" s="38" t="s">
        <v>32</v>
      </c>
      <c r="C9" s="60">
        <v>236076.6</v>
      </c>
      <c r="D9" s="20">
        <f>10+42</f>
        <v>52</v>
      </c>
      <c r="E9" s="32">
        <v>0</v>
      </c>
      <c r="F9" s="35">
        <v>233220</v>
      </c>
      <c r="G9" s="36">
        <v>45</v>
      </c>
      <c r="H9" s="40">
        <v>97</v>
      </c>
      <c r="I9" s="25">
        <v>1</v>
      </c>
      <c r="J9" s="26">
        <v>0.12485256576035134</v>
      </c>
      <c r="K9" s="27">
        <v>12.11069887875408</v>
      </c>
      <c r="L9" s="81">
        <f>100-($F9*100/$C9)</f>
        <v>1.210030981469572</v>
      </c>
    </row>
    <row r="10" spans="1:12" ht="35.1" customHeight="1" x14ac:dyDescent="0.2">
      <c r="A10" s="58" t="s">
        <v>22</v>
      </c>
      <c r="B10" s="38" t="s">
        <v>32</v>
      </c>
      <c r="C10" s="60">
        <v>963000</v>
      </c>
      <c r="D10" s="20">
        <f>10+42</f>
        <v>52</v>
      </c>
      <c r="E10" s="32">
        <v>0.1</v>
      </c>
      <c r="F10" s="35">
        <v>653400</v>
      </c>
      <c r="G10" s="36">
        <v>45</v>
      </c>
      <c r="H10" s="40">
        <v>97</v>
      </c>
      <c r="I10" s="31">
        <v>1</v>
      </c>
      <c r="J10" s="26">
        <v>0.50929664705107724</v>
      </c>
      <c r="K10" s="27">
        <v>49.401774763954492</v>
      </c>
      <c r="L10" s="47">
        <f>100-($F10*100/$C10)</f>
        <v>32.149532710280369</v>
      </c>
    </row>
    <row r="11" spans="1:12" ht="68.25" customHeight="1" thickBot="1" x14ac:dyDescent="0.25">
      <c r="A11" s="59"/>
      <c r="B11" s="39" t="s">
        <v>26</v>
      </c>
      <c r="C11" s="61">
        <v>963000</v>
      </c>
      <c r="D11" s="69" t="s">
        <v>27</v>
      </c>
      <c r="E11" s="77" t="s">
        <v>28</v>
      </c>
      <c r="F11" s="78"/>
      <c r="G11" s="78"/>
      <c r="H11" s="78"/>
      <c r="I11" s="78"/>
      <c r="J11" s="78"/>
      <c r="K11" s="79"/>
      <c r="L11" s="80" t="s">
        <v>27</v>
      </c>
    </row>
    <row r="12" spans="1:12" ht="48" customHeight="1" thickBot="1" x14ac:dyDescent="0.25">
      <c r="A12" s="19" t="s">
        <v>23</v>
      </c>
      <c r="B12" s="62" t="s">
        <v>27</v>
      </c>
      <c r="C12" s="60">
        <v>30000</v>
      </c>
      <c r="D12" s="74" t="s">
        <v>31</v>
      </c>
      <c r="E12" s="75"/>
      <c r="F12" s="75"/>
      <c r="G12" s="75"/>
      <c r="H12" s="75"/>
      <c r="I12" s="75"/>
      <c r="J12" s="75"/>
      <c r="K12" s="76"/>
      <c r="L12" s="80" t="s">
        <v>27</v>
      </c>
    </row>
    <row r="13" spans="1:12" ht="35.1" customHeight="1" x14ac:dyDescent="0.2">
      <c r="A13" s="58" t="s">
        <v>24</v>
      </c>
      <c r="B13" s="38" t="s">
        <v>32</v>
      </c>
      <c r="C13" s="60">
        <v>661766.40000000002</v>
      </c>
      <c r="D13" s="20">
        <f>10+42</f>
        <v>52</v>
      </c>
      <c r="E13" s="43">
        <v>0.01</v>
      </c>
      <c r="F13" s="41">
        <v>632966.40000000002</v>
      </c>
      <c r="G13" s="22">
        <v>46.452702702702695</v>
      </c>
      <c r="H13" s="40">
        <v>97</v>
      </c>
      <c r="I13" s="44">
        <v>1</v>
      </c>
      <c r="J13" s="45">
        <v>0.34998484802810176</v>
      </c>
      <c r="K13" s="46">
        <v>34.456954193361284</v>
      </c>
      <c r="L13" s="47">
        <f t="shared" ref="L10:L14" si="0">100-($F13*100/$C13)</f>
        <v>4.3519888589085269</v>
      </c>
    </row>
    <row r="14" spans="1:12" ht="63" customHeight="1" thickBot="1" x14ac:dyDescent="0.25">
      <c r="A14" s="73"/>
      <c r="B14" s="39" t="s">
        <v>26</v>
      </c>
      <c r="C14" s="61">
        <v>661766.40000000002</v>
      </c>
      <c r="D14" s="69" t="s">
        <v>27</v>
      </c>
      <c r="E14" s="77" t="s">
        <v>28</v>
      </c>
      <c r="F14" s="78"/>
      <c r="G14" s="78"/>
      <c r="H14" s="78"/>
      <c r="I14" s="78"/>
      <c r="J14" s="78"/>
      <c r="K14" s="79"/>
      <c r="L14" s="82" t="s">
        <v>27</v>
      </c>
    </row>
    <row r="15" spans="1:12" ht="35.1" customHeight="1" thickBot="1" x14ac:dyDescent="0.25">
      <c r="A15" s="9"/>
      <c r="B15" s="28" t="s">
        <v>12</v>
      </c>
      <c r="C15" s="29">
        <f>C9+C10+C13+C12</f>
        <v>1890843</v>
      </c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</row>
    <row r="18" spans="1:12" ht="14.25" x14ac:dyDescent="0.2">
      <c r="A18" s="48" t="s">
        <v>2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</row>
    <row r="19" spans="1:12" ht="14.25" x14ac:dyDescent="0.2">
      <c r="A19" s="48" t="s">
        <v>25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</sheetData>
  <mergeCells count="9">
    <mergeCell ref="A13:A14"/>
    <mergeCell ref="D12:K12"/>
    <mergeCell ref="E11:K11"/>
    <mergeCell ref="E14:K14"/>
    <mergeCell ref="E7:K7"/>
    <mergeCell ref="A2:K2"/>
    <mergeCell ref="A3:K3"/>
    <mergeCell ref="A4:K4"/>
    <mergeCell ref="A10:A1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1"/>
  <sheetViews>
    <sheetView showGridLines="0" showZeros="0" tabSelected="1" topLeftCell="E1" zoomScaleNormal="100" workbookViewId="0">
      <selection activeCell="N13" sqref="N13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6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45</v>
      </c>
    </row>
    <row r="3" spans="1:21" s="3" customFormat="1" ht="22.5" customHeight="1" x14ac:dyDescent="0.15">
      <c r="A3" s="57" t="s">
        <v>19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T3" s="24" t="s">
        <v>8</v>
      </c>
    </row>
    <row r="4" spans="1:21" s="3" customFormat="1" ht="22.5" customHeight="1" x14ac:dyDescent="0.15">
      <c r="A4" s="57" t="s">
        <v>20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21" s="3" customFormat="1" ht="24.6" customHeight="1" x14ac:dyDescent="0.15">
      <c r="A5" s="57" t="s">
        <v>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21" s="3" customFormat="1" ht="24.6" customHeight="1" thickBot="1" x14ac:dyDescent="0.2">
      <c r="A6" s="23"/>
      <c r="B6" s="23"/>
      <c r="C6" s="23"/>
      <c r="D6" s="23"/>
      <c r="E6" s="23"/>
      <c r="F6" s="23"/>
      <c r="G6" s="23"/>
      <c r="H6" s="4"/>
    </row>
    <row r="7" spans="1:21" s="3" customFormat="1" ht="24.75" customHeight="1" thickBot="1" x14ac:dyDescent="0.3">
      <c r="A7" s="2"/>
      <c r="B7" s="6"/>
      <c r="C7" s="7"/>
      <c r="D7" s="7"/>
      <c r="E7" s="51" t="s">
        <v>14</v>
      </c>
      <c r="F7" s="52"/>
      <c r="G7" s="52"/>
      <c r="H7" s="52"/>
      <c r="I7" s="52"/>
      <c r="J7" s="53"/>
      <c r="K7" s="54" t="s">
        <v>33</v>
      </c>
      <c r="L7" s="55"/>
      <c r="M7" s="55"/>
      <c r="N7" s="55"/>
      <c r="O7" s="55"/>
      <c r="P7" s="55"/>
      <c r="Q7" s="56"/>
    </row>
    <row r="8" spans="1:21" s="8" customFormat="1" ht="30.75" thickBot="1" x14ac:dyDescent="0.25">
      <c r="A8" s="15" t="s">
        <v>4</v>
      </c>
      <c r="B8" s="16" t="s">
        <v>5</v>
      </c>
      <c r="C8" s="17" t="s">
        <v>30</v>
      </c>
      <c r="D8" s="18" t="s">
        <v>0</v>
      </c>
      <c r="E8" s="16" t="s">
        <v>29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29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1" s="3" customFormat="1" ht="35.1" customHeight="1" thickBot="1" x14ac:dyDescent="0.2">
      <c r="A9" s="19" t="s">
        <v>21</v>
      </c>
      <c r="B9" s="38" t="s">
        <v>32</v>
      </c>
      <c r="C9" s="60">
        <v>236076.6</v>
      </c>
      <c r="D9" s="20">
        <f>10+42</f>
        <v>52</v>
      </c>
      <c r="E9" s="60">
        <v>233220</v>
      </c>
      <c r="F9" s="21">
        <f>$U$2*(MIN(E$9:E$9)/E9)</f>
        <v>45</v>
      </c>
      <c r="G9" s="21">
        <f>D9+F9</f>
        <v>97</v>
      </c>
      <c r="H9" s="30">
        <v>1</v>
      </c>
      <c r="I9" s="26">
        <f>+$C9/$C$15*H9</f>
        <v>0.12485256576035134</v>
      </c>
      <c r="J9" s="27">
        <f t="shared" ref="J9:J14" si="0">+G9*I9</f>
        <v>12.11069887875408</v>
      </c>
      <c r="K9" s="32">
        <v>0</v>
      </c>
      <c r="L9" s="35">
        <f>+$E9*(1-K9)</f>
        <v>233220</v>
      </c>
      <c r="M9" s="36">
        <f>$U$2*(MIN(L$9:L$9)/L9)</f>
        <v>45</v>
      </c>
      <c r="N9" s="40">
        <f>$D9+M9</f>
        <v>97</v>
      </c>
      <c r="O9" s="25">
        <v>1</v>
      </c>
      <c r="P9" s="26">
        <f>+$C9/$C$15*O9</f>
        <v>0.12485256576035134</v>
      </c>
      <c r="Q9" s="27">
        <f>+N9*P9</f>
        <v>12.11069887875408</v>
      </c>
    </row>
    <row r="10" spans="1:21" s="3" customFormat="1" ht="35.1" customHeight="1" x14ac:dyDescent="0.15">
      <c r="A10" s="58" t="s">
        <v>22</v>
      </c>
      <c r="B10" s="38" t="s">
        <v>32</v>
      </c>
      <c r="C10" s="60">
        <v>963000</v>
      </c>
      <c r="D10" s="20">
        <f>10+42</f>
        <v>52</v>
      </c>
      <c r="E10" s="60">
        <v>726000</v>
      </c>
      <c r="F10" s="21">
        <f>$U$2*(MIN(E$10:E$11)/E10)</f>
        <v>45</v>
      </c>
      <c r="G10" s="21">
        <f t="shared" ref="G10:G14" si="1">D10+F10</f>
        <v>97</v>
      </c>
      <c r="H10" s="30">
        <v>1</v>
      </c>
      <c r="I10" s="26">
        <f>+$C10/$C$15*H10</f>
        <v>0.50929664705107724</v>
      </c>
      <c r="J10" s="27">
        <f t="shared" si="0"/>
        <v>49.401774763954492</v>
      </c>
      <c r="K10" s="32">
        <v>0.1</v>
      </c>
      <c r="L10" s="35">
        <f t="shared" ref="L10:L14" si="2">+$E10*(1-K10)</f>
        <v>653400</v>
      </c>
      <c r="M10" s="36">
        <f>$U$2*(MIN(L$10:L$11)/L10)</f>
        <v>45</v>
      </c>
      <c r="N10" s="40">
        <f t="shared" ref="N10:N14" si="3">$D10+M10</f>
        <v>97</v>
      </c>
      <c r="O10" s="31">
        <v>1</v>
      </c>
      <c r="P10" s="26">
        <f>+$C10/$C$15*O10</f>
        <v>0.50929664705107724</v>
      </c>
      <c r="Q10" s="27">
        <f t="shared" ref="Q10:Q14" si="4">+N10*P10</f>
        <v>49.401774763954492</v>
      </c>
    </row>
    <row r="11" spans="1:21" s="3" customFormat="1" ht="60.75" customHeight="1" thickBot="1" x14ac:dyDescent="0.2">
      <c r="A11" s="59"/>
      <c r="B11" s="39" t="s">
        <v>26</v>
      </c>
      <c r="C11" s="61">
        <v>963000</v>
      </c>
      <c r="D11" s="69" t="s">
        <v>27</v>
      </c>
      <c r="E11" s="70" t="s">
        <v>28</v>
      </c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2"/>
    </row>
    <row r="12" spans="1:21" s="3" customFormat="1" ht="35.1" customHeight="1" thickBot="1" x14ac:dyDescent="0.2">
      <c r="A12" s="19" t="s">
        <v>23</v>
      </c>
      <c r="B12" s="62" t="s">
        <v>27</v>
      </c>
      <c r="C12" s="60">
        <v>30000</v>
      </c>
      <c r="D12" s="63" t="s">
        <v>31</v>
      </c>
      <c r="E12" s="64"/>
      <c r="F12" s="64"/>
      <c r="G12" s="64"/>
      <c r="H12" s="64"/>
      <c r="I12" s="64"/>
      <c r="J12" s="65"/>
      <c r="K12" s="66" t="s">
        <v>31</v>
      </c>
      <c r="L12" s="67"/>
      <c r="M12" s="67"/>
      <c r="N12" s="67"/>
      <c r="O12" s="67"/>
      <c r="P12" s="67"/>
      <c r="Q12" s="68"/>
    </row>
    <row r="13" spans="1:21" s="3" customFormat="1" ht="35.1" customHeight="1" x14ac:dyDescent="0.15">
      <c r="A13" s="58" t="s">
        <v>24</v>
      </c>
      <c r="B13" s="38" t="s">
        <v>32</v>
      </c>
      <c r="C13" s="60">
        <v>661766.40000000002</v>
      </c>
      <c r="D13" s="20">
        <f>10+42</f>
        <v>52</v>
      </c>
      <c r="E13" s="60">
        <v>639360</v>
      </c>
      <c r="F13" s="21">
        <f>$U$2*(MIN(E$13:E$14)/E13)</f>
        <v>45</v>
      </c>
      <c r="G13" s="37">
        <f t="shared" si="1"/>
        <v>97</v>
      </c>
      <c r="H13" s="30">
        <v>1</v>
      </c>
      <c r="I13" s="26">
        <f>+$C13/$C$15*H13</f>
        <v>0.34998484802810176</v>
      </c>
      <c r="J13" s="27">
        <f t="shared" si="0"/>
        <v>33.948530258725867</v>
      </c>
      <c r="K13" s="32">
        <v>0.01</v>
      </c>
      <c r="L13" s="35">
        <f t="shared" si="2"/>
        <v>632966.40000000002</v>
      </c>
      <c r="M13" s="36">
        <f>$U$2*(MIN(L$13)/L13)</f>
        <v>45</v>
      </c>
      <c r="N13" s="40">
        <f t="shared" si="3"/>
        <v>97</v>
      </c>
      <c r="O13" s="31">
        <v>1</v>
      </c>
      <c r="P13" s="26">
        <f>+$C13/$C$15*O13</f>
        <v>0.34998484802810176</v>
      </c>
      <c r="Q13" s="27">
        <f t="shared" si="4"/>
        <v>33.948530258725867</v>
      </c>
    </row>
    <row r="14" spans="1:21" s="3" customFormat="1" ht="67.5" customHeight="1" thickBot="1" x14ac:dyDescent="0.2">
      <c r="A14" s="73"/>
      <c r="B14" s="39" t="s">
        <v>26</v>
      </c>
      <c r="C14" s="61">
        <v>661766.40000000002</v>
      </c>
      <c r="D14" s="69" t="s">
        <v>27</v>
      </c>
      <c r="E14" s="70" t="s">
        <v>28</v>
      </c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2"/>
    </row>
    <row r="15" spans="1:21" ht="42.75" customHeight="1" thickBot="1" x14ac:dyDescent="0.25">
      <c r="B15" s="28" t="s">
        <v>12</v>
      </c>
      <c r="C15" s="29">
        <f>C9+C10+C13+C12</f>
        <v>1890843</v>
      </c>
      <c r="I15" s="33" t="s">
        <v>13</v>
      </c>
      <c r="J15" s="34">
        <f>SUM(J9:J14)</f>
        <v>95.461003901434438</v>
      </c>
      <c r="P15" s="33" t="s">
        <v>13</v>
      </c>
      <c r="Q15" s="34">
        <f>SUM(Q9:Q14)</f>
        <v>95.461003901434438</v>
      </c>
    </row>
    <row r="18" spans="1:7" ht="14.25" x14ac:dyDescent="0.2">
      <c r="A18" s="1" t="s">
        <v>2</v>
      </c>
    </row>
    <row r="19" spans="1:7" ht="14.25" x14ac:dyDescent="0.2">
      <c r="A19" s="1" t="s">
        <v>25</v>
      </c>
    </row>
    <row r="21" spans="1:7" ht="56.25" customHeight="1" x14ac:dyDescent="0.2">
      <c r="A21" s="50"/>
      <c r="B21" s="50"/>
      <c r="C21" s="50"/>
      <c r="D21" s="50"/>
      <c r="E21" s="50"/>
      <c r="F21" s="50"/>
      <c r="G21" s="50"/>
    </row>
  </sheetData>
  <mergeCells count="12">
    <mergeCell ref="A21:G21"/>
    <mergeCell ref="E7:J7"/>
    <mergeCell ref="K7:Q7"/>
    <mergeCell ref="A3:Q3"/>
    <mergeCell ref="A4:Q4"/>
    <mergeCell ref="A5:Q5"/>
    <mergeCell ref="A10:A11"/>
    <mergeCell ref="A13:A14"/>
    <mergeCell ref="D12:J12"/>
    <mergeCell ref="K12:Q12"/>
    <mergeCell ref="E11:Q11"/>
    <mergeCell ref="E14:Q1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NURIA</cp:lastModifiedBy>
  <cp:lastPrinted>2021-11-19T11:28:43Z</cp:lastPrinted>
  <dcterms:created xsi:type="dcterms:W3CDTF">2007-03-30T09:59:06Z</dcterms:created>
  <dcterms:modified xsi:type="dcterms:W3CDTF">2024-12-27T08:00:36Z</dcterms:modified>
</cp:coreProperties>
</file>