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4\EXPEDIENTES COMITÉ\3. EVALUACION\S-05815-2024 Transmisores FM y equipos complemetarios CC.EE. CRTVE\INFORMES\"/>
    </mc:Choice>
  </mc:AlternateContent>
  <xr:revisionPtr revIDLastSave="0" documentId="13_ncr:1_{9E81D851-D0DF-4652-BB48-99158006E73B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ADJUDICADA'!$A$1:$K$24</definedName>
    <definedName name="_xlnm.Print_Area" localSheetId="1">valoración!$A$2:$Q$25</definedName>
  </definedNames>
  <calcPr calcId="191029"/>
</workbook>
</file>

<file path=xl/calcChain.xml><?xml version="1.0" encoding="utf-8"?>
<calcChain xmlns="http://schemas.openxmlformats.org/spreadsheetml/2006/main">
  <c r="J23" i="6" l="1"/>
  <c r="Q23" i="5"/>
  <c r="J23" i="5" l="1"/>
  <c r="K20" i="6"/>
  <c r="K21" i="6"/>
  <c r="K15" i="6"/>
  <c r="K16" i="6"/>
  <c r="K17" i="6"/>
  <c r="K18" i="6"/>
  <c r="K19" i="6"/>
  <c r="K10" i="6"/>
  <c r="K11" i="6"/>
  <c r="K12" i="6"/>
  <c r="K13" i="6"/>
  <c r="K14" i="6"/>
  <c r="K9" i="6"/>
  <c r="L21" i="5" l="1"/>
  <c r="C22" i="6" l="1"/>
  <c r="M21" i="5"/>
  <c r="M20" i="5"/>
  <c r="M19" i="5"/>
  <c r="M18" i="5"/>
  <c r="M17" i="5"/>
  <c r="M16" i="5"/>
  <c r="M15" i="5"/>
  <c r="M14" i="5"/>
  <c r="M13" i="5"/>
  <c r="M12" i="5"/>
  <c r="M11" i="5"/>
  <c r="M10" i="5"/>
  <c r="F9" i="5"/>
  <c r="M9" i="5"/>
  <c r="F10" i="5"/>
  <c r="F11" i="5"/>
  <c r="F14" i="5"/>
  <c r="F13" i="5"/>
  <c r="F12" i="5"/>
  <c r="G11" i="5" l="1"/>
  <c r="G10" i="5"/>
  <c r="F20" i="5"/>
  <c r="G20" i="5" s="1"/>
  <c r="F21" i="5"/>
  <c r="G21" i="5" s="1"/>
  <c r="F18" i="5"/>
  <c r="G18" i="5" s="1"/>
  <c r="F17" i="5"/>
  <c r="G17" i="5" s="1"/>
  <c r="F16" i="5"/>
  <c r="G16" i="5" s="1"/>
  <c r="F19" i="5"/>
  <c r="G19" i="5" s="1"/>
  <c r="F15" i="5"/>
  <c r="G15" i="5" s="1"/>
  <c r="G14" i="5"/>
  <c r="G13" i="5"/>
  <c r="G12" i="5"/>
  <c r="L10" i="5"/>
  <c r="L11" i="5"/>
  <c r="L12" i="5"/>
  <c r="L13" i="5"/>
  <c r="L14" i="5"/>
  <c r="L15" i="5"/>
  <c r="L16" i="5"/>
  <c r="L17" i="5"/>
  <c r="L18" i="5"/>
  <c r="L19" i="5"/>
  <c r="L20" i="5"/>
  <c r="C22" i="5"/>
  <c r="P17" i="5" s="1"/>
  <c r="N22" i="5"/>
  <c r="L9" i="5"/>
  <c r="N15" i="5" s="1"/>
  <c r="N12" i="5" l="1"/>
  <c r="N20" i="5"/>
  <c r="N19" i="5"/>
  <c r="N11" i="5"/>
  <c r="N13" i="5"/>
  <c r="N18" i="5"/>
  <c r="N17" i="5"/>
  <c r="Q17" i="5" s="1"/>
  <c r="N10" i="5"/>
  <c r="N16" i="5"/>
  <c r="N14" i="5"/>
  <c r="I13" i="5"/>
  <c r="J13" i="5" s="1"/>
  <c r="I20" i="5"/>
  <c r="J20" i="5" s="1"/>
  <c r="I12" i="5"/>
  <c r="J12" i="5" s="1"/>
  <c r="P21" i="5"/>
  <c r="P13" i="5"/>
  <c r="P15" i="5"/>
  <c r="Q15" i="5" s="1"/>
  <c r="P14" i="5"/>
  <c r="I19" i="5"/>
  <c r="J19" i="5" s="1"/>
  <c r="I11" i="5"/>
  <c r="J11" i="5" s="1"/>
  <c r="P20" i="5"/>
  <c r="P12" i="5"/>
  <c r="P16" i="5"/>
  <c r="I18" i="5"/>
  <c r="J18" i="5" s="1"/>
  <c r="I10" i="5"/>
  <c r="J10" i="5" s="1"/>
  <c r="P19" i="5"/>
  <c r="P11" i="5"/>
  <c r="I15" i="5"/>
  <c r="J15" i="5" s="1"/>
  <c r="I14" i="5"/>
  <c r="J14" i="5" s="1"/>
  <c r="I21" i="5"/>
  <c r="J21" i="5" s="1"/>
  <c r="I17" i="5"/>
  <c r="J17" i="5" s="1"/>
  <c r="P18" i="5"/>
  <c r="P10" i="5"/>
  <c r="I16" i="5"/>
  <c r="J16" i="5" s="1"/>
  <c r="Q20" i="5" l="1"/>
  <c r="Q19" i="5"/>
  <c r="Q11" i="5"/>
  <c r="Q12" i="5"/>
  <c r="Q14" i="5"/>
  <c r="Q13" i="5"/>
  <c r="Q10" i="5"/>
  <c r="Q16" i="5"/>
  <c r="Q18" i="5"/>
  <c r="N21" i="5"/>
  <c r="Q21" i="5" s="1"/>
  <c r="P9" i="5" l="1"/>
  <c r="J22" i="6"/>
  <c r="A2" i="6" l="1"/>
  <c r="N9" i="5" l="1"/>
  <c r="Q9" i="5" s="1"/>
  <c r="Q22" i="5" s="1"/>
  <c r="G9" i="5"/>
  <c r="A4" i="6" l="1"/>
  <c r="A3" i="6"/>
  <c r="I9" i="5" l="1"/>
  <c r="J9" i="5" s="1"/>
  <c r="J22" i="5" s="1"/>
</calcChain>
</file>

<file path=xl/sharedStrings.xml><?xml version="1.0" encoding="utf-8"?>
<sst xmlns="http://schemas.openxmlformats.org/spreadsheetml/2006/main" count="92" uniqueCount="41">
  <si>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</si>
  <si>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</si>
  <si>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</si>
  <si>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</si>
  <si>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</si>
  <si>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</si>
  <si>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</si>
  <si>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</si>
  <si>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</si>
  <si>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</si>
  <si>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</si>
  <si>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</si>
  <si>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</si>
  <si>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</si>
  <si>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</si>
  <si>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</si>
  <si>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</si>
  <si>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</si>
  <si>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</si>
  <si>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</si>
  <si>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PROPUESTA DE ADJUDICACIÓN DEL EXPEDIENTE S-05815-2024</t>
  </si>
  <si>
    <t>"Transmisores FM y equipos complementarios para Centros Emisores CRTVE"</t>
  </si>
  <si>
    <t xml:space="preserve">Valor estimado   </t>
  </si>
  <si>
    <t xml:space="preserve">Importe Oferta </t>
  </si>
  <si>
    <r>
      <t>Importe Oferta</t>
    </r>
    <r>
      <rPr>
        <b/>
        <i/>
        <sz val="12"/>
        <rFont val="Tahoma"/>
        <family val="2"/>
      </rPr>
      <t xml:space="preserve"> </t>
    </r>
  </si>
  <si>
    <t>Lote 1:   Adquisición e instalación de transmisores de FM y equipos complementarios para el Centro Emisor de CRTVE en Ceuta</t>
  </si>
  <si>
    <t>Lote 2:   Adquisición e instalación de transmisores de FM y equipos complementarios para el Centro Emisor de CRTVE en Vimianzo (La Coruña)</t>
  </si>
  <si>
    <t>Lote 3:   Adquisición e instalación de transmisores de FM y equipos complementarios para el Centro Emisor de CRTVE en Melilla</t>
  </si>
  <si>
    <t>Lote 4:   Adquisición e instalación de transmisores de FM y equipos complementarios para el Centro Emisor de CRTVE en Castrove (Pontevedra)</t>
  </si>
  <si>
    <t>Lote 5:   Adquisición e instalación de transmisores de FM y equipos complementarios para el Centro Emisor de CRTVE en Jumilla (Murcia)</t>
  </si>
  <si>
    <t>Lote 6:   Adquisición e instalación de transmisores de FM y equipos complementarios para el Centro Emisor de CRTVE en Valdepeñas (Ciudad Real)</t>
  </si>
  <si>
    <t>Lote 7:   Adquisición e instalación de transmisores de FM y equipos complementarios para el Centro Emisor de CRTVE en Medina del Campo (Valladolid)</t>
  </si>
  <si>
    <t>Lote 8:   Adquisición e instalación de transmisores de FM y equipos complementarios para el Centro Emisor de CRTVE en Torrero (Zaragoza)</t>
  </si>
  <si>
    <t>Lote 9:   Adquisición e instalación de transmisores de FM y equipos complementarios para el Centro Emisor de CRTVE en Vigo (Pontevedra)</t>
  </si>
  <si>
    <t>Lote 10:   Adquisición e instalación de transmisores de FM y equipos complementarios para el Centro Emisor de CRTVE en Monte Xalo (La coruña)</t>
  </si>
  <si>
    <t>VIDEO MEDIOS, S.A.</t>
  </si>
  <si>
    <t>ALTEL SISTEMAS, S.L.</t>
  </si>
  <si>
    <t xml:space="preserve">Valor estimado    </t>
  </si>
  <si>
    <t>Alternativa 2: oferta conjunta "VIDEO MEDIOS,S.A. "  (2% de dtº en lotes 1 a 7 y 3% dtº en lotes 8, 9 y 10 )</t>
  </si>
  <si>
    <t>Madrid, a 30 de enero de 2025</t>
  </si>
  <si>
    <t>Madrid, a 30 de  enero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</si>
</sst>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4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0"/>
      <name val="Tahoma"/>
      <family val="2"/>
    </font>
    <font>
      <b/>
      <sz val="10"/>
      <name val="Arial"/>
      <family val="2"/>
    </font>
    <font>
      <sz val="14"/>
      <name val="Tahoma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25">
    <xf numFmtId="0" fontId="0" fillId="0" borderId="0" xfId="0"/>
    <xf numFmtId="0" fontId="5" fillId="0" borderId="5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166" fontId="6" fillId="0" borderId="9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9" xfId="2" applyNumberFormat="1" applyFont="1" applyFill="1" applyBorder="1" applyAlignment="1">
      <alignment horizontal="center" vertical="center"/>
    </xf>
    <xf numFmtId="0" fontId="16" fillId="0" borderId="15" xfId="0" applyNumberFormat="1" applyFont="1" applyFill="1" applyBorder="1" applyAlignment="1">
      <alignment horizontal="left" vertical="top" wrapText="1"/>
    </xf>
    <xf numFmtId="0" fontId="0" fillId="5" borderId="0" xfId="0" applyFill="1"/>
    <xf numFmtId="4" fontId="6" fillId="5" borderId="11" xfId="0" applyNumberFormat="1" applyFont="1" applyFill="1" applyBorder="1" applyAlignment="1">
      <alignment horizontal="center" vertical="center"/>
    </xf>
    <xf numFmtId="4" fontId="6" fillId="5" borderId="10" xfId="0" applyNumberFormat="1" applyFont="1" applyFill="1" applyBorder="1" applyAlignment="1">
      <alignment horizontal="right" vertical="center" indent="1"/>
    </xf>
    <xf numFmtId="0" fontId="4" fillId="5" borderId="0" xfId="0" applyFont="1" applyFill="1" applyBorder="1" applyAlignment="1">
      <alignment vertical="center" wrapText="1"/>
    </xf>
    <xf numFmtId="0" fontId="3" fillId="5" borderId="0" xfId="0" applyFont="1" applyFill="1" applyBorder="1"/>
    <xf numFmtId="0" fontId="16" fillId="5" borderId="15" xfId="0" applyNumberFormat="1" applyFont="1" applyFill="1" applyBorder="1" applyAlignment="1">
      <alignment horizontal="right" vertical="top" wrapText="1"/>
    </xf>
    <xf numFmtId="0" fontId="5" fillId="5" borderId="5" xfId="0" applyFont="1" applyFill="1" applyBorder="1"/>
    <xf numFmtId="0" fontId="9" fillId="0" borderId="2" xfId="0" applyNumberFormat="1" applyFont="1" applyFill="1" applyBorder="1" applyAlignment="1">
      <alignment horizontal="right" vertical="center" wrapText="1"/>
    </xf>
    <xf numFmtId="166" fontId="17" fillId="5" borderId="2" xfId="0" applyNumberFormat="1" applyFont="1" applyFill="1" applyBorder="1" applyAlignment="1">
      <alignment horizontal="center" vertical="center"/>
    </xf>
    <xf numFmtId="4" fontId="0" fillId="0" borderId="0" xfId="0" applyNumberFormat="1"/>
    <xf numFmtId="0" fontId="20" fillId="5" borderId="0" xfId="0" applyFont="1" applyFill="1" applyBorder="1"/>
    <xf numFmtId="0" fontId="1" fillId="5" borderId="0" xfId="0" applyFont="1" applyFill="1" applyBorder="1"/>
    <xf numFmtId="166" fontId="6" fillId="0" borderId="12" xfId="0" applyNumberFormat="1" applyFont="1" applyFill="1" applyBorder="1" applyAlignment="1">
      <alignment horizontal="left" vertical="center" wrapText="1"/>
    </xf>
    <xf numFmtId="0" fontId="9" fillId="5" borderId="4" xfId="0" applyFont="1" applyFill="1" applyBorder="1" applyAlignment="1">
      <alignment vertical="center" wrapText="1"/>
    </xf>
    <xf numFmtId="166" fontId="3" fillId="0" borderId="0" xfId="0" applyNumberFormat="1" applyFont="1" applyFill="1" applyBorder="1"/>
    <xf numFmtId="4" fontId="3" fillId="0" borderId="0" xfId="0" applyNumberFormat="1" applyFont="1" applyFill="1" applyBorder="1"/>
    <xf numFmtId="166" fontId="6" fillId="0" borderId="9" xfId="0" applyNumberFormat="1" applyFont="1" applyFill="1" applyBorder="1" applyAlignment="1">
      <alignment horizontal="center" vertical="center" wrapText="1"/>
    </xf>
    <xf numFmtId="10" fontId="5" fillId="0" borderId="9" xfId="3" applyNumberFormat="1" applyFont="1" applyFill="1" applyBorder="1" applyAlignment="1">
      <alignment horizontal="center" vertical="center"/>
    </xf>
    <xf numFmtId="0" fontId="9" fillId="5" borderId="2" xfId="0" applyNumberFormat="1" applyFont="1" applyFill="1" applyBorder="1" applyAlignment="1">
      <alignment horizontal="right" vertical="center" wrapText="1"/>
    </xf>
    <xf numFmtId="0" fontId="0" fillId="5" borderId="0" xfId="0" applyFill="1" applyAlignment="1">
      <alignment horizontal="right"/>
    </xf>
    <xf numFmtId="166" fontId="17" fillId="5" borderId="2" xfId="0" applyNumberFormat="1" applyFont="1" applyFill="1" applyBorder="1" applyAlignment="1">
      <alignment horizontal="right" vertical="center"/>
    </xf>
    <xf numFmtId="0" fontId="1" fillId="0" borderId="19" xfId="0" applyFont="1" applyFill="1" applyBorder="1"/>
    <xf numFmtId="0" fontId="1" fillId="0" borderId="18" xfId="0" applyFont="1" applyFill="1" applyBorder="1"/>
    <xf numFmtId="10" fontId="5" fillId="0" borderId="20" xfId="0" applyNumberFormat="1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10" fontId="5" fillId="0" borderId="23" xfId="0" applyNumberFormat="1" applyFont="1" applyFill="1" applyBorder="1" applyAlignment="1">
      <alignment horizontal="center" vertical="center"/>
    </xf>
    <xf numFmtId="164" fontId="5" fillId="0" borderId="22" xfId="2" applyFont="1" applyFill="1" applyBorder="1" applyAlignment="1">
      <alignment horizontal="center" vertical="center"/>
    </xf>
    <xf numFmtId="10" fontId="5" fillId="0" borderId="7" xfId="0" applyNumberFormat="1" applyFont="1" applyFill="1" applyBorder="1" applyAlignment="1">
      <alignment horizontal="center" vertical="center"/>
    </xf>
    <xf numFmtId="164" fontId="5" fillId="0" borderId="8" xfId="2" applyNumberFormat="1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vertical="center" wrapText="1"/>
    </xf>
    <xf numFmtId="166" fontId="6" fillId="0" borderId="12" xfId="0" applyNumberFormat="1" applyFont="1" applyFill="1" applyBorder="1" applyAlignment="1">
      <alignment horizontal="center" vertical="center" wrapText="1"/>
    </xf>
    <xf numFmtId="4" fontId="6" fillId="5" borderId="7" xfId="0" applyNumberFormat="1" applyFont="1" applyFill="1" applyBorder="1" applyAlignment="1">
      <alignment horizontal="right" vertical="center" indent="1"/>
    </xf>
    <xf numFmtId="165" fontId="5" fillId="0" borderId="6" xfId="2" applyNumberFormat="1" applyFont="1" applyFill="1" applyBorder="1" applyAlignment="1">
      <alignment horizontal="center" vertical="center"/>
    </xf>
    <xf numFmtId="4" fontId="6" fillId="5" borderId="22" xfId="0" applyNumberFormat="1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166" fontId="21" fillId="4" borderId="1" xfId="0" applyNumberFormat="1" applyFont="1" applyFill="1" applyBorder="1"/>
    <xf numFmtId="4" fontId="22" fillId="5" borderId="0" xfId="0" applyNumberFormat="1" applyFont="1" applyFill="1" applyBorder="1"/>
    <xf numFmtId="0" fontId="22" fillId="5" borderId="0" xfId="0" applyFont="1" applyFill="1" applyBorder="1"/>
    <xf numFmtId="0" fontId="22" fillId="0" borderId="0" xfId="0" applyFont="1" applyFill="1" applyBorder="1"/>
    <xf numFmtId="166" fontId="22" fillId="5" borderId="0" xfId="0" applyNumberFormat="1" applyFont="1" applyFill="1" applyBorder="1"/>
    <xf numFmtId="4" fontId="6" fillId="5" borderId="17" xfId="0" applyNumberFormat="1" applyFont="1" applyFill="1" applyBorder="1" applyAlignment="1">
      <alignment horizontal="center" vertical="center"/>
    </xf>
    <xf numFmtId="4" fontId="6" fillId="5" borderId="24" xfId="0" applyNumberFormat="1" applyFont="1" applyFill="1" applyBorder="1" applyAlignment="1">
      <alignment horizontal="center" vertical="center"/>
    </xf>
    <xf numFmtId="4" fontId="6" fillId="0" borderId="23" xfId="0" applyNumberFormat="1" applyFont="1" applyFill="1" applyBorder="1" applyAlignment="1">
      <alignment horizontal="center" vertical="center"/>
    </xf>
    <xf numFmtId="4" fontId="6" fillId="0" borderId="23" xfId="0" applyNumberFormat="1" applyFont="1" applyFill="1" applyBorder="1" applyAlignment="1">
      <alignment horizontal="right" vertical="center" indent="1"/>
    </xf>
    <xf numFmtId="166" fontId="6" fillId="0" borderId="9" xfId="0" applyNumberFormat="1" applyFont="1" applyFill="1" applyBorder="1" applyAlignment="1">
      <alignment horizontal="right" vertical="center" wrapText="1"/>
    </xf>
    <xf numFmtId="166" fontId="6" fillId="0" borderId="12" xfId="0" applyNumberFormat="1" applyFont="1" applyFill="1" applyBorder="1" applyAlignment="1">
      <alignment horizontal="right" vertical="center" wrapText="1"/>
    </xf>
    <xf numFmtId="164" fontId="5" fillId="4" borderId="25" xfId="2" applyNumberFormat="1" applyFont="1" applyFill="1" applyBorder="1" applyAlignment="1">
      <alignment horizontal="center" vertical="center"/>
    </xf>
    <xf numFmtId="166" fontId="3" fillId="4" borderId="1" xfId="0" applyNumberFormat="1" applyFont="1" applyFill="1" applyBorder="1"/>
    <xf numFmtId="164" fontId="5" fillId="4" borderId="25" xfId="2" applyFont="1" applyFill="1" applyBorder="1" applyAlignment="1">
      <alignment horizontal="center" vertical="center"/>
    </xf>
    <xf numFmtId="166" fontId="6" fillId="0" borderId="26" xfId="0" applyNumberFormat="1" applyFont="1" applyFill="1" applyBorder="1" applyAlignment="1">
      <alignment horizontal="right" vertical="center" indent="1"/>
    </xf>
    <xf numFmtId="0" fontId="9" fillId="3" borderId="27" xfId="0" applyFont="1" applyFill="1" applyBorder="1" applyAlignment="1">
      <alignment vertical="center" wrapText="1"/>
    </xf>
    <xf numFmtId="0" fontId="6" fillId="5" borderId="27" xfId="0" applyFont="1" applyFill="1" applyBorder="1" applyAlignment="1">
      <alignment vertical="center" wrapText="1"/>
    </xf>
    <xf numFmtId="166" fontId="6" fillId="0" borderId="6" xfId="0" applyNumberFormat="1" applyFont="1" applyFill="1" applyBorder="1" applyAlignment="1">
      <alignment horizontal="center" vertical="center" wrapText="1"/>
    </xf>
    <xf numFmtId="4" fontId="6" fillId="5" borderId="8" xfId="0" applyNumberFormat="1" applyFont="1" applyFill="1" applyBorder="1" applyAlignment="1">
      <alignment horizontal="center" vertical="center"/>
    </xf>
    <xf numFmtId="166" fontId="6" fillId="0" borderId="6" xfId="0" applyNumberFormat="1" applyFont="1" applyFill="1" applyBorder="1" applyAlignment="1">
      <alignment horizontal="right" vertical="center" indent="1"/>
    </xf>
    <xf numFmtId="10" fontId="5" fillId="0" borderId="6" xfId="3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right" vertical="center" indent="1"/>
    </xf>
    <xf numFmtId="4" fontId="6" fillId="5" borderId="23" xfId="0" applyNumberFormat="1" applyFont="1" applyFill="1" applyBorder="1" applyAlignment="1">
      <alignment horizontal="right" vertical="center" indent="1"/>
    </xf>
    <xf numFmtId="164" fontId="5" fillId="0" borderId="8" xfId="2" applyFont="1" applyFill="1" applyBorder="1" applyAlignment="1">
      <alignment horizontal="center" vertical="center"/>
    </xf>
    <xf numFmtId="166" fontId="6" fillId="5" borderId="6" xfId="0" applyNumberFormat="1" applyFont="1" applyFill="1" applyBorder="1" applyAlignment="1">
      <alignment horizontal="right" vertical="center" indent="1"/>
    </xf>
    <xf numFmtId="165" fontId="5" fillId="5" borderId="6" xfId="2" applyNumberFormat="1" applyFont="1" applyFill="1" applyBorder="1" applyAlignment="1">
      <alignment horizontal="center" vertical="center"/>
    </xf>
    <xf numFmtId="166" fontId="6" fillId="5" borderId="9" xfId="0" applyNumberFormat="1" applyFont="1" applyFill="1" applyBorder="1" applyAlignment="1">
      <alignment horizontal="right" vertical="center" indent="1"/>
    </xf>
    <xf numFmtId="165" fontId="5" fillId="5" borderId="9" xfId="2" applyNumberFormat="1" applyFont="1" applyFill="1" applyBorder="1" applyAlignment="1">
      <alignment horizontal="center" vertical="center"/>
    </xf>
    <xf numFmtId="164" fontId="5" fillId="0" borderId="21" xfId="2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left" vertical="center" wrapText="1"/>
    </xf>
    <xf numFmtId="4" fontId="6" fillId="5" borderId="16" xfId="0" applyNumberFormat="1" applyFont="1" applyFill="1" applyBorder="1" applyAlignment="1">
      <alignment horizontal="center" vertical="center"/>
    </xf>
    <xf numFmtId="166" fontId="6" fillId="5" borderId="15" xfId="0" applyNumberFormat="1" applyFont="1" applyFill="1" applyBorder="1" applyAlignment="1">
      <alignment horizontal="right" vertical="center" indent="1"/>
    </xf>
    <xf numFmtId="10" fontId="5" fillId="0" borderId="15" xfId="3" applyNumberFormat="1" applyFont="1" applyFill="1" applyBorder="1" applyAlignment="1">
      <alignment horizontal="center" vertical="center"/>
    </xf>
    <xf numFmtId="165" fontId="5" fillId="5" borderId="15" xfId="2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center" vertical="center" wrapText="1"/>
    </xf>
    <xf numFmtId="165" fontId="5" fillId="0" borderId="15" xfId="2" applyNumberFormat="1" applyFont="1" applyFill="1" applyBorder="1" applyAlignment="1">
      <alignment horizontal="center" vertical="center"/>
    </xf>
    <xf numFmtId="4" fontId="6" fillId="5" borderId="29" xfId="0" applyNumberFormat="1" applyFont="1" applyFill="1" applyBorder="1" applyAlignment="1">
      <alignment horizontal="right" vertical="center" indent="1"/>
    </xf>
    <xf numFmtId="10" fontId="5" fillId="0" borderId="29" xfId="0" applyNumberFormat="1" applyFont="1" applyFill="1" applyBorder="1" applyAlignment="1">
      <alignment horizontal="center" vertical="center"/>
    </xf>
    <xf numFmtId="164" fontId="5" fillId="0" borderId="16" xfId="2" applyNumberFormat="1" applyFont="1" applyFill="1" applyBorder="1" applyAlignment="1">
      <alignment horizontal="center" vertical="center"/>
    </xf>
    <xf numFmtId="10" fontId="5" fillId="0" borderId="10" xfId="0" applyNumberFormat="1" applyFont="1" applyFill="1" applyBorder="1" applyAlignment="1">
      <alignment horizontal="center" vertical="center"/>
    </xf>
    <xf numFmtId="164" fontId="5" fillId="0" borderId="11" xfId="2" applyNumberFormat="1" applyFont="1" applyFill="1" applyBorder="1" applyAlignment="1">
      <alignment horizontal="center" vertical="center"/>
    </xf>
    <xf numFmtId="166" fontId="6" fillId="0" borderId="6" xfId="0" applyNumberFormat="1" applyFont="1" applyFill="1" applyBorder="1" applyAlignment="1">
      <alignment horizontal="right" vertical="center" wrapText="1"/>
    </xf>
    <xf numFmtId="4" fontId="6" fillId="5" borderId="30" xfId="0" applyNumberFormat="1" applyFont="1" applyFill="1" applyBorder="1" applyAlignment="1">
      <alignment horizontal="center" vertical="center"/>
    </xf>
    <xf numFmtId="4" fontId="6" fillId="5" borderId="27" xfId="0" applyNumberFormat="1" applyFont="1" applyFill="1" applyBorder="1" applyAlignment="1">
      <alignment horizontal="center" vertical="center"/>
    </xf>
    <xf numFmtId="4" fontId="6" fillId="5" borderId="29" xfId="0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right" vertical="center" wrapText="1"/>
    </xf>
    <xf numFmtId="4" fontId="6" fillId="5" borderId="2" xfId="0" applyNumberFormat="1" applyFont="1" applyFill="1" applyBorder="1" applyAlignment="1">
      <alignment horizontal="center" vertical="center"/>
    </xf>
    <xf numFmtId="166" fontId="23" fillId="4" borderId="1" xfId="0" applyNumberFormat="1" applyFont="1" applyFill="1" applyBorder="1"/>
    <xf numFmtId="0" fontId="9" fillId="3" borderId="28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19" fillId="5" borderId="0" xfId="0" applyFont="1" applyFill="1" applyAlignment="1">
      <alignment horizontal="center"/>
    </xf>
    <xf numFmtId="9" fontId="18" fillId="5" borderId="3" xfId="3" applyFont="1" applyFill="1" applyBorder="1" applyAlignment="1">
      <alignment horizontal="left" vertical="center"/>
    </xf>
    <xf numFmtId="9" fontId="18" fillId="5" borderId="13" xfId="3" applyFont="1" applyFill="1" applyBorder="1" applyAlignment="1">
      <alignment horizontal="left" vertical="center"/>
    </xf>
    <xf numFmtId="9" fontId="18" fillId="5" borderId="14" xfId="3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top" wrapText="1"/>
    </xf>
    <xf numFmtId="9" fontId="18" fillId="0" borderId="3" xfId="3" applyFont="1" applyFill="1" applyBorder="1" applyAlignment="1">
      <alignment horizontal="left" vertical="center"/>
    </xf>
    <xf numFmtId="9" fontId="18" fillId="0" borderId="13" xfId="3" applyFont="1" applyFill="1" applyBorder="1" applyAlignment="1">
      <alignment horizontal="left" vertical="center"/>
    </xf>
    <xf numFmtId="9" fontId="18" fillId="0" borderId="14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165" fontId="18" fillId="0" borderId="3" xfId="2" applyNumberFormat="1" applyFont="1" applyFill="1" applyBorder="1" applyAlignment="1">
      <alignment horizontal="left" vertical="center"/>
    </xf>
    <xf numFmtId="165" fontId="18" fillId="0" borderId="13" xfId="2" applyNumberFormat="1" applyFont="1" applyFill="1" applyBorder="1" applyAlignment="1">
      <alignment horizontal="left" vertical="center"/>
    </xf>
    <xf numFmtId="165" fontId="18" fillId="0" borderId="14" xfId="2" applyNumberFormat="1" applyFont="1" applyFill="1" applyBorder="1" applyAlignment="1">
      <alignment horizontal="left" vertical="center"/>
    </xf>
    <xf numFmtId="4" fontId="20" fillId="5" borderId="0" xfId="0" applyNumberFormat="1" applyFont="1" applyFill="1" applyBorder="1"/>
    <xf numFmtId="166" fontId="20" fillId="5" borderId="0" xfId="0" applyNumberFormat="1" applyFont="1" applyFill="1" applyBorder="1"/>
    <xf numFmtId="2" fontId="6" fillId="0" borderId="15" xfId="0" applyNumberFormat="1" applyFont="1" applyFill="1" applyBorder="1" applyAlignment="1">
      <alignment horizontal="right" vertical="center" inden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2295071</xdr:colOff>
      <xdr:row>3</xdr:row>
      <xdr:rowOff>199571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364218"/>
          <a:ext cx="2045516" cy="842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7"/>
  <sheetViews>
    <sheetView tabSelected="1" topLeftCell="C16" zoomScale="70" zoomScaleNormal="70" workbookViewId="0">
      <selection activeCell="J23" sqref="J23"/>
    </sheetView>
  </sheetViews>
  <sheetFormatPr baseColWidth="10" defaultRowHeight="12.5" x14ac:dyDescent="0.25"/>
  <cols>
    <col min="1" max="1" width="96.7265625" customWidth="1"/>
    <col min="2" max="2" width="24.453125" customWidth="1"/>
    <col min="3" max="3" width="27.453125" customWidth="1"/>
    <col min="4" max="4" width="21.1796875" customWidth="1"/>
    <col min="5" max="5" width="20.26953125" customWidth="1"/>
    <col min="6" max="9" width="16.7265625" customWidth="1"/>
    <col min="10" max="10" width="35.453125" customWidth="1"/>
    <col min="11" max="11" width="18.1796875" customWidth="1"/>
  </cols>
  <sheetData>
    <row r="1" spans="1:18" ht="48" customHeight="1" x14ac:dyDescent="0.2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8" ht="17.5" x14ac:dyDescent="0.35">
      <c r="A2" s="110" t="str">
        <f>valoración!A3</f>
        <v>PROPUESTA DE ADJUDICACIÓN DEL EXPEDIENTE S-05815-2024</v>
      </c>
      <c r="B2" s="110"/>
      <c r="C2" s="110"/>
      <c r="D2" s="110"/>
      <c r="E2" s="110"/>
      <c r="F2" s="110"/>
      <c r="G2" s="110"/>
      <c r="H2" s="110"/>
      <c r="I2" s="110"/>
      <c r="J2" s="110"/>
      <c r="K2" s="24"/>
    </row>
    <row r="3" spans="1:18" ht="17.5" x14ac:dyDescent="0.35">
      <c r="A3" s="110" t="str">
        <f>valoración!A4</f>
        <v>"Transmisores FM y equipos complementarios para Centros Emisores CRTVE"</v>
      </c>
      <c r="B3" s="110"/>
      <c r="C3" s="110"/>
      <c r="D3" s="110"/>
      <c r="E3" s="110"/>
      <c r="F3" s="110"/>
      <c r="G3" s="110"/>
      <c r="H3" s="110"/>
      <c r="I3" s="110"/>
      <c r="J3" s="110"/>
      <c r="K3" s="24"/>
    </row>
    <row r="4" spans="1:18" ht="17.5" x14ac:dyDescent="0.35">
      <c r="A4" s="110" t="str">
        <f>valoración!A5</f>
        <v>RESUMEN PUNTUACIÓN TÉCNICA Y ECONÓMICA</v>
      </c>
      <c r="B4" s="110"/>
      <c r="C4" s="110"/>
      <c r="D4" s="110"/>
      <c r="E4" s="110"/>
      <c r="F4" s="110"/>
      <c r="G4" s="110"/>
      <c r="H4" s="110"/>
      <c r="I4" s="110"/>
      <c r="J4" s="110"/>
      <c r="K4" s="24"/>
    </row>
    <row r="5" spans="1:18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8" ht="13" thickBot="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8" ht="30.75" customHeight="1" thickBot="1" x14ac:dyDescent="0.3">
      <c r="A7" s="24"/>
      <c r="B7" s="24"/>
      <c r="C7" s="24"/>
      <c r="D7" s="24"/>
      <c r="E7" s="111" t="s">
        <v>38</v>
      </c>
      <c r="F7" s="112"/>
      <c r="G7" s="112"/>
      <c r="H7" s="112"/>
      <c r="I7" s="112"/>
      <c r="J7" s="113"/>
      <c r="K7" s="24"/>
    </row>
    <row r="8" spans="1:18" ht="30.5" thickBot="1" x14ac:dyDescent="0.3">
      <c r="A8" s="15" t="s">
        <v>4</v>
      </c>
      <c r="B8" s="16" t="s">
        <v>5</v>
      </c>
      <c r="C8" s="17" t="s">
        <v>37</v>
      </c>
      <c r="D8" s="18" t="s">
        <v>0</v>
      </c>
      <c r="E8" s="16" t="s">
        <v>23</v>
      </c>
      <c r="F8" s="17" t="s">
        <v>1</v>
      </c>
      <c r="G8" s="17" t="s">
        <v>16</v>
      </c>
      <c r="H8" s="17" t="s">
        <v>9</v>
      </c>
      <c r="I8" s="17" t="s">
        <v>10</v>
      </c>
      <c r="J8" s="18" t="s">
        <v>11</v>
      </c>
      <c r="K8" s="17" t="s">
        <v>19</v>
      </c>
    </row>
    <row r="9" spans="1:18" ht="44.25" customHeight="1" thickBot="1" x14ac:dyDescent="0.3">
      <c r="A9" s="75" t="s">
        <v>25</v>
      </c>
      <c r="B9" s="76" t="s">
        <v>35</v>
      </c>
      <c r="C9" s="101">
        <v>27000</v>
      </c>
      <c r="D9" s="102">
        <v>48</v>
      </c>
      <c r="E9" s="79">
        <v>22050.803599999999</v>
      </c>
      <c r="F9" s="56">
        <v>50</v>
      </c>
      <c r="G9" s="56">
        <v>98</v>
      </c>
      <c r="H9" s="57">
        <v>1</v>
      </c>
      <c r="I9" s="52">
        <v>4.5608108108108107E-2</v>
      </c>
      <c r="J9" s="53">
        <v>4.4695945945945947</v>
      </c>
      <c r="K9" s="103">
        <f>100-($E9*100/$C9)</f>
        <v>18.330357037037047</v>
      </c>
    </row>
    <row r="10" spans="1:18" ht="40" customHeight="1" thickBot="1" x14ac:dyDescent="0.3">
      <c r="A10" s="75" t="s">
        <v>26</v>
      </c>
      <c r="B10" s="76" t="s">
        <v>35</v>
      </c>
      <c r="C10" s="101">
        <v>21000</v>
      </c>
      <c r="D10" s="102">
        <v>48</v>
      </c>
      <c r="E10" s="79">
        <v>20282.266199999998</v>
      </c>
      <c r="F10" s="56">
        <v>50</v>
      </c>
      <c r="G10" s="56">
        <v>98</v>
      </c>
      <c r="H10" s="57">
        <v>1</v>
      </c>
      <c r="I10" s="52">
        <v>3.5472972972972971E-2</v>
      </c>
      <c r="J10" s="53">
        <v>3.4763513513513513</v>
      </c>
      <c r="K10" s="103">
        <f t="shared" ref="K10:K21" si="0">100-($E10*100/$C10)</f>
        <v>3.4177800000000076</v>
      </c>
    </row>
    <row r="11" spans="1:18" ht="40" customHeight="1" thickBot="1" x14ac:dyDescent="0.3">
      <c r="A11" s="75" t="s">
        <v>27</v>
      </c>
      <c r="B11" s="76" t="s">
        <v>35</v>
      </c>
      <c r="C11" s="101">
        <v>34000</v>
      </c>
      <c r="D11" s="102">
        <v>48</v>
      </c>
      <c r="E11" s="84">
        <v>26699.0514</v>
      </c>
      <c r="F11" s="56">
        <v>50</v>
      </c>
      <c r="G11" s="56">
        <v>98</v>
      </c>
      <c r="H11" s="57">
        <v>1</v>
      </c>
      <c r="I11" s="52">
        <v>5.7432432432432436E-2</v>
      </c>
      <c r="J11" s="53">
        <v>5.628378378378379</v>
      </c>
      <c r="K11" s="103">
        <f t="shared" si="0"/>
        <v>21.47337823529412</v>
      </c>
      <c r="N11" s="33"/>
      <c r="O11" s="33"/>
      <c r="P11" s="33"/>
      <c r="R11" s="33"/>
    </row>
    <row r="12" spans="1:18" ht="40" customHeight="1" thickBot="1" x14ac:dyDescent="0.3">
      <c r="A12" s="75" t="s">
        <v>28</v>
      </c>
      <c r="B12" s="76" t="s">
        <v>35</v>
      </c>
      <c r="C12" s="101">
        <v>28000</v>
      </c>
      <c r="D12" s="102">
        <v>48</v>
      </c>
      <c r="E12" s="79">
        <v>26240.8524</v>
      </c>
      <c r="F12" s="56">
        <v>50</v>
      </c>
      <c r="G12" s="56">
        <v>98</v>
      </c>
      <c r="H12" s="57">
        <v>1</v>
      </c>
      <c r="I12" s="52">
        <v>4.72972972972973E-2</v>
      </c>
      <c r="J12" s="53">
        <v>4.6351351351351351</v>
      </c>
      <c r="K12" s="103">
        <f t="shared" si="0"/>
        <v>6.2826700000000102</v>
      </c>
    </row>
    <row r="13" spans="1:18" ht="40" customHeight="1" thickBot="1" x14ac:dyDescent="0.3">
      <c r="A13" s="75" t="s">
        <v>29</v>
      </c>
      <c r="B13" s="76" t="s">
        <v>35</v>
      </c>
      <c r="C13" s="101">
        <v>28000</v>
      </c>
      <c r="D13" s="102">
        <v>48</v>
      </c>
      <c r="E13" s="79">
        <v>25921.519399999997</v>
      </c>
      <c r="F13" s="56">
        <v>50</v>
      </c>
      <c r="G13" s="56">
        <v>98</v>
      </c>
      <c r="H13" s="57">
        <v>1</v>
      </c>
      <c r="I13" s="52">
        <v>4.72972972972973E-2</v>
      </c>
      <c r="J13" s="53">
        <v>4.6351351351351351</v>
      </c>
      <c r="K13" s="103">
        <f t="shared" si="0"/>
        <v>7.4231450000000052</v>
      </c>
    </row>
    <row r="14" spans="1:18" ht="40" customHeight="1" thickBot="1" x14ac:dyDescent="0.3">
      <c r="A14" s="75" t="s">
        <v>30</v>
      </c>
      <c r="B14" s="76" t="s">
        <v>35</v>
      </c>
      <c r="C14" s="101">
        <v>28000</v>
      </c>
      <c r="D14" s="102">
        <v>48</v>
      </c>
      <c r="E14" s="79">
        <v>25462.036599999999</v>
      </c>
      <c r="F14" s="56">
        <v>50</v>
      </c>
      <c r="G14" s="56">
        <v>98</v>
      </c>
      <c r="H14" s="57">
        <v>1</v>
      </c>
      <c r="I14" s="52">
        <v>4.72972972972973E-2</v>
      </c>
      <c r="J14" s="53">
        <v>4.6351351351351351</v>
      </c>
      <c r="K14" s="103">
        <f t="shared" si="0"/>
        <v>9.0641549999999995</v>
      </c>
    </row>
    <row r="15" spans="1:18" ht="40" customHeight="1" thickBot="1" x14ac:dyDescent="0.3">
      <c r="A15" s="75" t="s">
        <v>31</v>
      </c>
      <c r="B15" s="76" t="s">
        <v>35</v>
      </c>
      <c r="C15" s="101">
        <v>21000</v>
      </c>
      <c r="D15" s="102">
        <v>48</v>
      </c>
      <c r="E15" s="79">
        <v>16893.396799999999</v>
      </c>
      <c r="F15" s="56">
        <v>50</v>
      </c>
      <c r="G15" s="56">
        <v>98</v>
      </c>
      <c r="H15" s="57">
        <v>1</v>
      </c>
      <c r="I15" s="52">
        <v>3.5472972972972971E-2</v>
      </c>
      <c r="J15" s="53">
        <v>3.4763513513513513</v>
      </c>
      <c r="K15" s="103">
        <f>100-($E15*100/$C15)</f>
        <v>19.55525333333334</v>
      </c>
    </row>
    <row r="16" spans="1:18" ht="40" customHeight="1" x14ac:dyDescent="0.25">
      <c r="A16" s="108" t="s">
        <v>32</v>
      </c>
      <c r="B16" s="54" t="s">
        <v>35</v>
      </c>
      <c r="C16" s="69">
        <v>55000</v>
      </c>
      <c r="D16" s="66">
        <v>48</v>
      </c>
      <c r="E16" s="86">
        <v>39857.358199999995</v>
      </c>
      <c r="F16" s="26">
        <v>50</v>
      </c>
      <c r="G16" s="26">
        <v>98</v>
      </c>
      <c r="H16" s="22">
        <v>1</v>
      </c>
      <c r="I16" s="99">
        <v>9.29054054054054E-2</v>
      </c>
      <c r="J16" s="100">
        <v>9.1047297297297298</v>
      </c>
      <c r="K16" s="65">
        <f t="shared" si="0"/>
        <v>27.532076000000018</v>
      </c>
      <c r="O16" s="33"/>
      <c r="P16" s="33"/>
      <c r="R16" s="33"/>
    </row>
    <row r="17" spans="1:18" ht="54" customHeight="1" thickBot="1" x14ac:dyDescent="0.3">
      <c r="A17" s="109"/>
      <c r="B17" s="89" t="s">
        <v>36</v>
      </c>
      <c r="C17" s="70">
        <v>55000</v>
      </c>
      <c r="D17" s="104">
        <v>40</v>
      </c>
      <c r="E17" s="91">
        <v>44975</v>
      </c>
      <c r="F17" s="96">
        <v>44.310570539188433</v>
      </c>
      <c r="G17" s="82">
        <v>84.310570539188433</v>
      </c>
      <c r="H17" s="95"/>
      <c r="I17" s="97"/>
      <c r="J17" s="98">
        <v>0</v>
      </c>
      <c r="K17" s="106">
        <f t="shared" si="0"/>
        <v>18.227272727272734</v>
      </c>
    </row>
    <row r="18" spans="1:18" ht="54" customHeight="1" x14ac:dyDescent="0.25">
      <c r="A18" s="108" t="s">
        <v>33</v>
      </c>
      <c r="B18" s="54" t="s">
        <v>35</v>
      </c>
      <c r="C18" s="69">
        <v>90000</v>
      </c>
      <c r="D18" s="66">
        <v>48</v>
      </c>
      <c r="E18" s="86">
        <v>41419.339499999995</v>
      </c>
      <c r="F18" s="26">
        <v>50</v>
      </c>
      <c r="G18" s="26">
        <v>98</v>
      </c>
      <c r="H18" s="22">
        <v>1</v>
      </c>
      <c r="I18" s="99">
        <v>0.15202702702702703</v>
      </c>
      <c r="J18" s="100">
        <v>14.898648648648649</v>
      </c>
      <c r="K18" s="65">
        <f t="shared" si="0"/>
        <v>53.978511666666677</v>
      </c>
    </row>
    <row r="19" spans="1:18" ht="42" customHeight="1" thickBot="1" x14ac:dyDescent="0.3">
      <c r="A19" s="109"/>
      <c r="B19" s="89" t="s">
        <v>36</v>
      </c>
      <c r="C19" s="105">
        <v>90000</v>
      </c>
      <c r="D19" s="104">
        <v>40</v>
      </c>
      <c r="E19" s="91">
        <v>81965</v>
      </c>
      <c r="F19" s="96">
        <v>25.266479289940825</v>
      </c>
      <c r="G19" s="82">
        <v>65.266479289940833</v>
      </c>
      <c r="H19" s="95"/>
      <c r="I19" s="97"/>
      <c r="J19" s="98">
        <v>0</v>
      </c>
      <c r="K19" s="106">
        <f t="shared" si="0"/>
        <v>8.9277777777777771</v>
      </c>
    </row>
    <row r="20" spans="1:18" ht="42" customHeight="1" x14ac:dyDescent="0.25">
      <c r="A20" s="108" t="s">
        <v>34</v>
      </c>
      <c r="B20" s="54" t="s">
        <v>35</v>
      </c>
      <c r="C20" s="69">
        <v>260000</v>
      </c>
      <c r="D20" s="66">
        <v>48</v>
      </c>
      <c r="E20" s="86">
        <v>188906.97619999998</v>
      </c>
      <c r="F20" s="26">
        <v>50</v>
      </c>
      <c r="G20" s="26">
        <v>98</v>
      </c>
      <c r="H20" s="22">
        <v>1</v>
      </c>
      <c r="I20" s="99">
        <v>0.4391891891891892</v>
      </c>
      <c r="J20" s="100">
        <v>43.04054054054054</v>
      </c>
      <c r="K20" s="65">
        <f t="shared" si="0"/>
        <v>27.343470692307704</v>
      </c>
    </row>
    <row r="21" spans="1:18" ht="63.75" customHeight="1" thickBot="1" x14ac:dyDescent="0.3">
      <c r="A21" s="109"/>
      <c r="B21" s="36" t="s">
        <v>36</v>
      </c>
      <c r="C21" s="70">
        <v>260000</v>
      </c>
      <c r="D21" s="67">
        <v>40</v>
      </c>
      <c r="E21" s="59">
        <v>249130</v>
      </c>
      <c r="F21" s="68">
        <v>37.913333641070921</v>
      </c>
      <c r="G21" s="82">
        <v>77.913333641070921</v>
      </c>
      <c r="H21" s="95"/>
      <c r="I21" s="97"/>
      <c r="J21" s="98">
        <v>0</v>
      </c>
      <c r="K21" s="106">
        <f t="shared" si="0"/>
        <v>4.1807692307692292</v>
      </c>
      <c r="R21" s="33"/>
    </row>
    <row r="22" spans="1:18" ht="39.5" thickBot="1" x14ac:dyDescent="0.3">
      <c r="A22" s="37"/>
      <c r="B22" s="42" t="s">
        <v>12</v>
      </c>
      <c r="C22" s="44">
        <f>C9+C10+C11+C12+C13+C14+C15+C16+C18+C20</f>
        <v>592000</v>
      </c>
      <c r="D22" s="28"/>
      <c r="E22" s="28"/>
      <c r="F22" s="28"/>
      <c r="G22" s="28"/>
      <c r="H22" s="28"/>
      <c r="I22" s="29" t="s">
        <v>18</v>
      </c>
      <c r="J22" s="73">
        <f>SUM(J9:J21)</f>
        <v>98</v>
      </c>
      <c r="K22" s="24"/>
    </row>
    <row r="23" spans="1:18" ht="27.5" customHeight="1" x14ac:dyDescent="0.3">
      <c r="A23" s="27"/>
      <c r="B23" s="24"/>
      <c r="C23" s="43"/>
      <c r="D23" s="24"/>
      <c r="E23" s="24"/>
      <c r="F23" s="24"/>
      <c r="G23" s="24"/>
      <c r="H23" s="24"/>
      <c r="I23" s="24"/>
      <c r="J23" s="107">
        <f>E9+E10+E11+E12+E13+E14+E15+E16+E18++E20</f>
        <v>433733.60029999993</v>
      </c>
      <c r="K23" s="24"/>
    </row>
    <row r="24" spans="1:18" x14ac:dyDescent="0.25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</row>
    <row r="25" spans="1:18" ht="14" x14ac:dyDescent="0.3">
      <c r="A25" s="30" t="s">
        <v>2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</row>
    <row r="26" spans="1:18" ht="14" x14ac:dyDescent="0.3">
      <c r="A26" s="30" t="s">
        <v>39</v>
      </c>
    </row>
    <row r="27" spans="1:18" x14ac:dyDescent="0.25">
      <c r="A27" s="24"/>
      <c r="P27" s="33"/>
    </row>
  </sheetData>
  <mergeCells count="7">
    <mergeCell ref="A18:A19"/>
    <mergeCell ref="A20:A21"/>
    <mergeCell ref="A2:J2"/>
    <mergeCell ref="A3:J3"/>
    <mergeCell ref="A4:J4"/>
    <mergeCell ref="E7:J7"/>
    <mergeCell ref="A16:A17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C32"/>
  <sheetViews>
    <sheetView showGridLines="0" showZeros="0" topLeftCell="A19" zoomScale="70" zoomScaleNormal="70" workbookViewId="0">
      <pane xSplit="2" topLeftCell="L1" activePane="topRight" state="frozen"/>
      <selection pane="topRight" activeCell="Q23" sqref="Q23"/>
    </sheetView>
  </sheetViews>
  <sheetFormatPr baseColWidth="10" defaultColWidth="11.453125" defaultRowHeight="26.5" customHeight="1" x14ac:dyDescent="0.25"/>
  <cols>
    <col min="1" max="1" width="87.7265625" style="9" customWidth="1"/>
    <col min="2" max="2" width="30.26953125" style="10" customWidth="1"/>
    <col min="3" max="3" width="25.1796875" style="10" customWidth="1"/>
    <col min="4" max="4" width="17" style="10" customWidth="1"/>
    <col min="5" max="5" width="20.54296875" style="10" customWidth="1"/>
    <col min="6" max="9" width="16.7265625" style="10" customWidth="1"/>
    <col min="10" max="10" width="19" style="10" customWidth="1"/>
    <col min="11" max="11" width="16.7265625" style="10" customWidth="1"/>
    <col min="12" max="12" width="20.81640625" style="10" customWidth="1"/>
    <col min="13" max="16" width="16.7265625" style="10" customWidth="1"/>
    <col min="17" max="17" width="19.1796875" style="10" customWidth="1"/>
    <col min="18" max="16384" width="11.453125" style="10"/>
  </cols>
  <sheetData>
    <row r="1" spans="1:29" ht="26.5" customHeight="1" x14ac:dyDescent="0.25">
      <c r="T1" s="12" t="s">
        <v>6</v>
      </c>
    </row>
    <row r="2" spans="1:29" s="3" customFormat="1" ht="26.5" customHeight="1" x14ac:dyDescent="0.2">
      <c r="A2" s="2"/>
      <c r="D2" s="4"/>
      <c r="E2" s="4"/>
      <c r="F2" s="4"/>
      <c r="G2" s="4"/>
      <c r="H2" s="5"/>
      <c r="M2" s="11"/>
      <c r="T2" s="13" t="s">
        <v>17</v>
      </c>
      <c r="U2" s="14">
        <v>50</v>
      </c>
    </row>
    <row r="3" spans="1:29" s="3" customFormat="1" ht="26.5" customHeight="1" x14ac:dyDescent="0.2">
      <c r="A3" s="118" t="s">
        <v>20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T3" s="21" t="s">
        <v>8</v>
      </c>
    </row>
    <row r="4" spans="1:29" s="3" customFormat="1" ht="26.5" customHeight="1" x14ac:dyDescent="0.2">
      <c r="A4" s="118" t="s">
        <v>21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</row>
    <row r="5" spans="1:29" s="3" customFormat="1" ht="26.5" customHeight="1" x14ac:dyDescent="0.2">
      <c r="A5" s="118" t="s">
        <v>3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</row>
    <row r="6" spans="1:29" s="3" customFormat="1" ht="26.5" customHeight="1" thickBot="1" x14ac:dyDescent="0.25">
      <c r="A6" s="20"/>
      <c r="B6" s="20"/>
      <c r="C6" s="20"/>
      <c r="D6" s="20"/>
      <c r="E6" s="20"/>
      <c r="F6" s="20"/>
      <c r="G6" s="20"/>
      <c r="H6" s="4"/>
    </row>
    <row r="7" spans="1:29" s="3" customFormat="1" ht="26.5" customHeight="1" thickBot="1" x14ac:dyDescent="0.4">
      <c r="A7" s="2"/>
      <c r="B7" s="6"/>
      <c r="C7" s="7"/>
      <c r="D7" s="7"/>
      <c r="E7" s="119" t="s">
        <v>14</v>
      </c>
      <c r="F7" s="120"/>
      <c r="G7" s="120"/>
      <c r="H7" s="120"/>
      <c r="I7" s="120"/>
      <c r="J7" s="121"/>
      <c r="K7" s="115" t="s">
        <v>38</v>
      </c>
      <c r="L7" s="116"/>
      <c r="M7" s="116"/>
      <c r="N7" s="116"/>
      <c r="O7" s="116"/>
      <c r="P7" s="116"/>
      <c r="Q7" s="117"/>
    </row>
    <row r="8" spans="1:29" s="8" customFormat="1" ht="55.5" customHeight="1" thickBot="1" x14ac:dyDescent="0.35">
      <c r="A8" s="15" t="s">
        <v>4</v>
      </c>
      <c r="B8" s="16" t="s">
        <v>5</v>
      </c>
      <c r="C8" s="17" t="s">
        <v>22</v>
      </c>
      <c r="D8" s="18" t="s">
        <v>0</v>
      </c>
      <c r="E8" s="16" t="s">
        <v>23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24</v>
      </c>
      <c r="M8" s="17" t="s">
        <v>1</v>
      </c>
      <c r="N8" s="17" t="s">
        <v>16</v>
      </c>
      <c r="O8" s="17" t="s">
        <v>9</v>
      </c>
      <c r="P8" s="48" t="s">
        <v>10</v>
      </c>
      <c r="Q8" s="49" t="s">
        <v>11</v>
      </c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</row>
    <row r="9" spans="1:29" s="45" customFormat="1" ht="50.15" customHeight="1" thickBot="1" x14ac:dyDescent="0.25">
      <c r="A9" s="75" t="s">
        <v>25</v>
      </c>
      <c r="B9" s="76" t="s">
        <v>35</v>
      </c>
      <c r="C9" s="77">
        <v>27000</v>
      </c>
      <c r="D9" s="78">
        <v>48</v>
      </c>
      <c r="E9" s="79">
        <v>22500.82</v>
      </c>
      <c r="F9" s="56">
        <f>$U$2*(MIN(E$9)/E9)</f>
        <v>50</v>
      </c>
      <c r="G9" s="56">
        <f>D9+F9</f>
        <v>98</v>
      </c>
      <c r="H9" s="57">
        <v>1</v>
      </c>
      <c r="I9" s="52">
        <f>+$C9/$C$22*H9</f>
        <v>4.5608108108108107E-2</v>
      </c>
      <c r="J9" s="53">
        <f t="shared" ref="J9:J21" si="0">+G9*I9</f>
        <v>4.4695945945945947</v>
      </c>
      <c r="K9" s="80">
        <v>0.02</v>
      </c>
      <c r="L9" s="81">
        <f>+$E9*(1-K9)</f>
        <v>22050.803599999999</v>
      </c>
      <c r="M9" s="82">
        <f>$U$2*(MIN(L$9)/L9)</f>
        <v>50</v>
      </c>
      <c r="N9" s="82">
        <f t="shared" ref="N9:N22" si="1">$D9+M9</f>
        <v>98</v>
      </c>
      <c r="O9" s="57">
        <v>1</v>
      </c>
      <c r="P9" s="50">
        <f>+$C9/$C$22*O9</f>
        <v>4.5608108108108107E-2</v>
      </c>
      <c r="Q9" s="51">
        <f t="shared" ref="Q9:Q21" si="2">+N9*P9</f>
        <v>4.4695945945945947</v>
      </c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</row>
    <row r="10" spans="1:29" s="46" customFormat="1" ht="50.15" customHeight="1" thickBot="1" x14ac:dyDescent="0.25">
      <c r="A10" s="75" t="s">
        <v>26</v>
      </c>
      <c r="B10" s="76" t="s">
        <v>35</v>
      </c>
      <c r="C10" s="77">
        <v>21000</v>
      </c>
      <c r="D10" s="78">
        <v>48</v>
      </c>
      <c r="E10" s="79">
        <v>20696.189999999999</v>
      </c>
      <c r="F10" s="56">
        <f>$U$2*(MIN(E$10)/E10)</f>
        <v>50</v>
      </c>
      <c r="G10" s="56">
        <f t="shared" ref="G10:G21" si="3">D10+F10</f>
        <v>98</v>
      </c>
      <c r="H10" s="57">
        <v>1</v>
      </c>
      <c r="I10" s="52">
        <f t="shared" ref="I10:I21" si="4">+$C10/$C$22*H10</f>
        <v>3.5472972972972971E-2</v>
      </c>
      <c r="J10" s="53">
        <f t="shared" si="0"/>
        <v>3.4763513513513513</v>
      </c>
      <c r="K10" s="80">
        <v>0.02</v>
      </c>
      <c r="L10" s="79">
        <f t="shared" ref="L10:L20" si="5">+$E10*(1-K10)</f>
        <v>20282.266199999998</v>
      </c>
      <c r="M10" s="56">
        <f>$U$2*(MIN(L$10)/L10)</f>
        <v>50</v>
      </c>
      <c r="N10" s="56">
        <f t="shared" si="1"/>
        <v>98</v>
      </c>
      <c r="O10" s="57">
        <v>1</v>
      </c>
      <c r="P10" s="52">
        <f t="shared" ref="P10:P21" si="6">+$C10/$C$22*O10</f>
        <v>3.5472972972972971E-2</v>
      </c>
      <c r="Q10" s="83">
        <f t="shared" si="2"/>
        <v>3.4763513513513513</v>
      </c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</row>
    <row r="11" spans="1:29" s="46" customFormat="1" ht="50.15" customHeight="1" thickBot="1" x14ac:dyDescent="0.25">
      <c r="A11" s="75" t="s">
        <v>27</v>
      </c>
      <c r="B11" s="76" t="s">
        <v>35</v>
      </c>
      <c r="C11" s="77">
        <v>34000</v>
      </c>
      <c r="D11" s="78">
        <v>48</v>
      </c>
      <c r="E11" s="84">
        <v>27243.93</v>
      </c>
      <c r="F11" s="56">
        <f>$U$2*(MIN(E$11)/E11)</f>
        <v>50</v>
      </c>
      <c r="G11" s="56">
        <f t="shared" si="3"/>
        <v>98</v>
      </c>
      <c r="H11" s="57">
        <v>1</v>
      </c>
      <c r="I11" s="52">
        <f t="shared" si="4"/>
        <v>5.7432432432432436E-2</v>
      </c>
      <c r="J11" s="53">
        <f t="shared" si="0"/>
        <v>5.628378378378379</v>
      </c>
      <c r="K11" s="80">
        <v>0.02</v>
      </c>
      <c r="L11" s="79">
        <f t="shared" si="5"/>
        <v>26699.0514</v>
      </c>
      <c r="M11" s="56">
        <f>$U$2*(MIN(L$11)/L11)</f>
        <v>50</v>
      </c>
      <c r="N11" s="56">
        <f t="shared" si="1"/>
        <v>98</v>
      </c>
      <c r="O11" s="85">
        <v>1</v>
      </c>
      <c r="P11" s="52">
        <f t="shared" si="6"/>
        <v>5.7432432432432436E-2</v>
      </c>
      <c r="Q11" s="83">
        <f t="shared" si="2"/>
        <v>5.628378378378379</v>
      </c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</row>
    <row r="12" spans="1:29" s="46" customFormat="1" ht="50.15" customHeight="1" thickBot="1" x14ac:dyDescent="0.25">
      <c r="A12" s="75" t="s">
        <v>28</v>
      </c>
      <c r="B12" s="76" t="s">
        <v>35</v>
      </c>
      <c r="C12" s="77">
        <v>28000</v>
      </c>
      <c r="D12" s="78">
        <v>48</v>
      </c>
      <c r="E12" s="79">
        <v>26776.38</v>
      </c>
      <c r="F12" s="56">
        <f>$U$2*(MIN(E$12)/E12)</f>
        <v>50</v>
      </c>
      <c r="G12" s="56">
        <f>D12+F12</f>
        <v>98</v>
      </c>
      <c r="H12" s="57">
        <v>1</v>
      </c>
      <c r="I12" s="52">
        <f t="shared" si="4"/>
        <v>4.72972972972973E-2</v>
      </c>
      <c r="J12" s="53">
        <f t="shared" si="0"/>
        <v>4.6351351351351351</v>
      </c>
      <c r="K12" s="80">
        <v>0.02</v>
      </c>
      <c r="L12" s="79">
        <f t="shared" si="5"/>
        <v>26240.8524</v>
      </c>
      <c r="M12" s="56">
        <f>$U$2*(MIN(L$12)/L12)</f>
        <v>50</v>
      </c>
      <c r="N12" s="56">
        <f t="shared" si="1"/>
        <v>98</v>
      </c>
      <c r="O12" s="57">
        <v>1</v>
      </c>
      <c r="P12" s="52">
        <f t="shared" si="6"/>
        <v>4.72972972972973E-2</v>
      </c>
      <c r="Q12" s="83">
        <f t="shared" si="2"/>
        <v>4.6351351351351351</v>
      </c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</row>
    <row r="13" spans="1:29" s="46" customFormat="1" ht="50.15" customHeight="1" thickBot="1" x14ac:dyDescent="0.25">
      <c r="A13" s="75" t="s">
        <v>29</v>
      </c>
      <c r="B13" s="76" t="s">
        <v>35</v>
      </c>
      <c r="C13" s="77">
        <v>28000</v>
      </c>
      <c r="D13" s="78">
        <v>48</v>
      </c>
      <c r="E13" s="79">
        <v>26450.53</v>
      </c>
      <c r="F13" s="56">
        <f>$U$2*(MIN(E$13)/E13)</f>
        <v>50</v>
      </c>
      <c r="G13" s="56">
        <f t="shared" si="3"/>
        <v>98</v>
      </c>
      <c r="H13" s="57">
        <v>1</v>
      </c>
      <c r="I13" s="52">
        <f t="shared" si="4"/>
        <v>4.72972972972973E-2</v>
      </c>
      <c r="J13" s="53">
        <f t="shared" si="0"/>
        <v>4.6351351351351351</v>
      </c>
      <c r="K13" s="80">
        <v>0.02</v>
      </c>
      <c r="L13" s="79">
        <f t="shared" si="5"/>
        <v>25921.519399999997</v>
      </c>
      <c r="M13" s="56">
        <f>$U$2*(MIN(L$13)/L13)</f>
        <v>50</v>
      </c>
      <c r="N13" s="56">
        <f t="shared" si="1"/>
        <v>98</v>
      </c>
      <c r="O13" s="57">
        <v>1</v>
      </c>
      <c r="P13" s="52">
        <f t="shared" si="6"/>
        <v>4.72972972972973E-2</v>
      </c>
      <c r="Q13" s="83">
        <f t="shared" si="2"/>
        <v>4.6351351351351351</v>
      </c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</row>
    <row r="14" spans="1:29" s="46" customFormat="1" ht="50.15" customHeight="1" thickBot="1" x14ac:dyDescent="0.25">
      <c r="A14" s="75" t="s">
        <v>30</v>
      </c>
      <c r="B14" s="76" t="s">
        <v>35</v>
      </c>
      <c r="C14" s="77">
        <v>28000</v>
      </c>
      <c r="D14" s="78">
        <v>48</v>
      </c>
      <c r="E14" s="79">
        <v>25981.67</v>
      </c>
      <c r="F14" s="56">
        <f>$U$2*(MIN(E$14)/E14)</f>
        <v>50</v>
      </c>
      <c r="G14" s="56">
        <f t="shared" si="3"/>
        <v>98</v>
      </c>
      <c r="H14" s="57">
        <v>1</v>
      </c>
      <c r="I14" s="52">
        <f t="shared" si="4"/>
        <v>4.72972972972973E-2</v>
      </c>
      <c r="J14" s="53">
        <f t="shared" si="0"/>
        <v>4.6351351351351351</v>
      </c>
      <c r="K14" s="80">
        <v>0.02</v>
      </c>
      <c r="L14" s="79">
        <f t="shared" si="5"/>
        <v>25462.036599999999</v>
      </c>
      <c r="M14" s="56">
        <f>$U$2*(MIN(L$14)/L14)</f>
        <v>50</v>
      </c>
      <c r="N14" s="56">
        <f t="shared" si="1"/>
        <v>98</v>
      </c>
      <c r="O14" s="57">
        <v>1</v>
      </c>
      <c r="P14" s="52">
        <f t="shared" si="6"/>
        <v>4.72972972972973E-2</v>
      </c>
      <c r="Q14" s="83">
        <f t="shared" si="2"/>
        <v>4.6351351351351351</v>
      </c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</row>
    <row r="15" spans="1:29" s="3" customFormat="1" ht="50.15" customHeight="1" thickBot="1" x14ac:dyDescent="0.25">
      <c r="A15" s="75" t="s">
        <v>31</v>
      </c>
      <c r="B15" s="76" t="s">
        <v>35</v>
      </c>
      <c r="C15" s="77">
        <v>21000</v>
      </c>
      <c r="D15" s="78">
        <v>48</v>
      </c>
      <c r="E15" s="79">
        <v>17238.16</v>
      </c>
      <c r="F15" s="56">
        <f>$U$2*(MIN(E$15)/E15)</f>
        <v>50</v>
      </c>
      <c r="G15" s="56">
        <f t="shared" si="3"/>
        <v>98</v>
      </c>
      <c r="H15" s="57">
        <v>1</v>
      </c>
      <c r="I15" s="52">
        <f t="shared" si="4"/>
        <v>3.5472972972972971E-2</v>
      </c>
      <c r="J15" s="53">
        <f t="shared" si="0"/>
        <v>3.4763513513513513</v>
      </c>
      <c r="K15" s="80">
        <v>0.02</v>
      </c>
      <c r="L15" s="79">
        <f t="shared" si="5"/>
        <v>16893.396799999999</v>
      </c>
      <c r="M15" s="56">
        <f>$U$2*(MIN(L$15)/L15)</f>
        <v>50</v>
      </c>
      <c r="N15" s="56">
        <f t="shared" si="1"/>
        <v>98</v>
      </c>
      <c r="O15" s="57">
        <v>1</v>
      </c>
      <c r="P15" s="52">
        <f t="shared" si="6"/>
        <v>3.5472972972972971E-2</v>
      </c>
      <c r="Q15" s="83">
        <f t="shared" si="2"/>
        <v>3.4763513513513513</v>
      </c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</row>
    <row r="16" spans="1:29" s="3" customFormat="1" ht="50.15" customHeight="1" x14ac:dyDescent="0.35">
      <c r="A16" s="108" t="s">
        <v>32</v>
      </c>
      <c r="B16" s="54" t="s">
        <v>35</v>
      </c>
      <c r="C16" s="40">
        <v>55000</v>
      </c>
      <c r="D16" s="25">
        <v>48</v>
      </c>
      <c r="E16" s="86">
        <v>41090.06</v>
      </c>
      <c r="F16" s="26">
        <f>$U$2*(MIN(E$16:E$17)/E16)</f>
        <v>50</v>
      </c>
      <c r="G16" s="26">
        <f t="shared" si="3"/>
        <v>98</v>
      </c>
      <c r="H16" s="22">
        <v>1</v>
      </c>
      <c r="I16" s="99">
        <f t="shared" si="4"/>
        <v>9.29054054054054E-2</v>
      </c>
      <c r="J16" s="100">
        <f t="shared" si="0"/>
        <v>9.1047297297297298</v>
      </c>
      <c r="K16" s="41">
        <v>0.03</v>
      </c>
      <c r="L16" s="19">
        <f t="shared" si="5"/>
        <v>39857.358199999995</v>
      </c>
      <c r="M16" s="26">
        <f>$U$2*(MIN(L$16:L$17)/L16)</f>
        <v>50</v>
      </c>
      <c r="N16" s="26">
        <f t="shared" si="1"/>
        <v>98</v>
      </c>
      <c r="O16" s="87">
        <v>1</v>
      </c>
      <c r="P16" s="47">
        <f t="shared" si="6"/>
        <v>9.29054054054054E-2</v>
      </c>
      <c r="Q16" s="88">
        <f t="shared" si="2"/>
        <v>9.1047297297297298</v>
      </c>
      <c r="R16" s="35"/>
      <c r="S16" s="35"/>
      <c r="T16" s="35"/>
      <c r="U16" s="61"/>
      <c r="V16" s="62"/>
      <c r="W16" s="62"/>
      <c r="X16" s="62"/>
      <c r="Y16" s="35"/>
      <c r="Z16" s="35"/>
      <c r="AA16" s="35"/>
      <c r="AB16" s="35"/>
      <c r="AC16" s="35"/>
    </row>
    <row r="17" spans="1:24" s="3" customFormat="1" ht="41.25" customHeight="1" thickBot="1" x14ac:dyDescent="0.4">
      <c r="A17" s="109"/>
      <c r="B17" s="89" t="s">
        <v>36</v>
      </c>
      <c r="C17" s="55">
        <v>55000</v>
      </c>
      <c r="D17" s="90">
        <v>40</v>
      </c>
      <c r="E17" s="91">
        <v>44975</v>
      </c>
      <c r="F17" s="96">
        <f>$U$2*(MIN(E$16:E$17)/E17)</f>
        <v>45.681000555864365</v>
      </c>
      <c r="G17" s="96">
        <f t="shared" si="3"/>
        <v>85.681000555864358</v>
      </c>
      <c r="H17" s="95"/>
      <c r="I17" s="97">
        <f t="shared" si="4"/>
        <v>0</v>
      </c>
      <c r="J17" s="98">
        <f t="shared" si="0"/>
        <v>0</v>
      </c>
      <c r="K17" s="92"/>
      <c r="L17" s="81">
        <f t="shared" si="5"/>
        <v>44975</v>
      </c>
      <c r="M17" s="82">
        <f>$U$2*(MIN(L$16:L$17)/L17)</f>
        <v>44.310570539188433</v>
      </c>
      <c r="N17" s="82">
        <f t="shared" si="1"/>
        <v>84.310570539188433</v>
      </c>
      <c r="O17" s="93"/>
      <c r="P17" s="50">
        <f t="shared" si="6"/>
        <v>0</v>
      </c>
      <c r="Q17" s="51">
        <f t="shared" si="2"/>
        <v>0</v>
      </c>
      <c r="S17" s="122"/>
      <c r="T17" s="35"/>
      <c r="U17" s="61"/>
      <c r="V17" s="62"/>
      <c r="W17" s="62"/>
      <c r="X17" s="63"/>
    </row>
    <row r="18" spans="1:24" s="3" customFormat="1" ht="50.15" customHeight="1" x14ac:dyDescent="0.35">
      <c r="A18" s="108" t="s">
        <v>33</v>
      </c>
      <c r="B18" s="54" t="s">
        <v>35</v>
      </c>
      <c r="C18" s="40">
        <v>90000</v>
      </c>
      <c r="D18" s="25">
        <v>48</v>
      </c>
      <c r="E18" s="86">
        <v>42700.35</v>
      </c>
      <c r="F18" s="26">
        <f>$U$2*(MIN(E$18:E$19)/E18)</f>
        <v>50</v>
      </c>
      <c r="G18" s="26">
        <f t="shared" si="3"/>
        <v>98</v>
      </c>
      <c r="H18" s="22">
        <v>1</v>
      </c>
      <c r="I18" s="99">
        <f t="shared" si="4"/>
        <v>0.15202702702702703</v>
      </c>
      <c r="J18" s="100">
        <f t="shared" si="0"/>
        <v>14.898648648648649</v>
      </c>
      <c r="K18" s="41">
        <v>0.03</v>
      </c>
      <c r="L18" s="19">
        <f t="shared" si="5"/>
        <v>41419.339499999995</v>
      </c>
      <c r="M18" s="26">
        <f>$U$2*(MIN(L$18:L$19)/L18)</f>
        <v>50</v>
      </c>
      <c r="N18" s="26">
        <f t="shared" si="1"/>
        <v>98</v>
      </c>
      <c r="O18" s="87">
        <v>1</v>
      </c>
      <c r="P18" s="47">
        <f t="shared" si="6"/>
        <v>0.15202702702702703</v>
      </c>
      <c r="Q18" s="88">
        <f t="shared" si="2"/>
        <v>14.898648648648649</v>
      </c>
      <c r="S18" s="122"/>
      <c r="T18" s="35"/>
      <c r="U18" s="64"/>
      <c r="V18" s="62"/>
      <c r="W18" s="62"/>
      <c r="X18" s="63"/>
    </row>
    <row r="19" spans="1:24" s="3" customFormat="1" ht="49.5" customHeight="1" thickBot="1" x14ac:dyDescent="0.3">
      <c r="A19" s="109"/>
      <c r="B19" s="89" t="s">
        <v>36</v>
      </c>
      <c r="C19" s="94">
        <v>90000</v>
      </c>
      <c r="D19" s="90">
        <v>40</v>
      </c>
      <c r="E19" s="91">
        <v>81965</v>
      </c>
      <c r="F19" s="96">
        <f>$U$2*(MIN(E$18:E$19)/E19)</f>
        <v>26.04791679375343</v>
      </c>
      <c r="G19" s="96">
        <f t="shared" si="3"/>
        <v>66.04791679375343</v>
      </c>
      <c r="H19" s="95"/>
      <c r="I19" s="97">
        <f t="shared" si="4"/>
        <v>0</v>
      </c>
      <c r="J19" s="98">
        <f t="shared" si="0"/>
        <v>0</v>
      </c>
      <c r="K19" s="92"/>
      <c r="L19" s="81">
        <f t="shared" si="5"/>
        <v>81965</v>
      </c>
      <c r="M19" s="82">
        <f>$U$2*(MIN(L$18:L$19)/L19)</f>
        <v>25.266479289940825</v>
      </c>
      <c r="N19" s="82">
        <f t="shared" si="1"/>
        <v>65.266479289940833</v>
      </c>
      <c r="O19" s="93"/>
      <c r="P19" s="50">
        <f t="shared" si="6"/>
        <v>0</v>
      </c>
      <c r="Q19" s="51">
        <f t="shared" si="2"/>
        <v>0</v>
      </c>
      <c r="S19" s="123"/>
      <c r="T19" s="35"/>
      <c r="U19" s="35"/>
      <c r="V19" s="35"/>
      <c r="W19" s="35"/>
    </row>
    <row r="20" spans="1:24" s="3" customFormat="1" ht="50.15" customHeight="1" x14ac:dyDescent="0.25">
      <c r="A20" s="108" t="s">
        <v>34</v>
      </c>
      <c r="B20" s="54" t="s">
        <v>35</v>
      </c>
      <c r="C20" s="40">
        <v>260000</v>
      </c>
      <c r="D20" s="25">
        <v>48</v>
      </c>
      <c r="E20" s="86">
        <v>194749.46</v>
      </c>
      <c r="F20" s="26">
        <f>$U$2*(MIN(E$20:E$21)/E20)</f>
        <v>50</v>
      </c>
      <c r="G20" s="26">
        <f t="shared" si="3"/>
        <v>98</v>
      </c>
      <c r="H20" s="22">
        <v>1</v>
      </c>
      <c r="I20" s="99">
        <f t="shared" si="4"/>
        <v>0.4391891891891892</v>
      </c>
      <c r="J20" s="100">
        <f t="shared" si="0"/>
        <v>43.04054054054054</v>
      </c>
      <c r="K20" s="41">
        <v>0.03</v>
      </c>
      <c r="L20" s="19">
        <f t="shared" si="5"/>
        <v>188906.97619999998</v>
      </c>
      <c r="M20" s="26">
        <f>$U$2*(MIN(L$20:L$21)/L20)</f>
        <v>50</v>
      </c>
      <c r="N20" s="26">
        <f t="shared" si="1"/>
        <v>98</v>
      </c>
      <c r="O20" s="87">
        <v>1</v>
      </c>
      <c r="P20" s="47">
        <f t="shared" si="6"/>
        <v>0.4391891891891892</v>
      </c>
      <c r="Q20" s="88">
        <f t="shared" si="2"/>
        <v>43.04054054054054</v>
      </c>
      <c r="S20" s="34"/>
      <c r="T20" s="35"/>
      <c r="U20" s="35"/>
      <c r="V20" s="35"/>
      <c r="W20" s="35"/>
    </row>
    <row r="21" spans="1:24" s="3" customFormat="1" ht="44.25" customHeight="1" thickBot="1" x14ac:dyDescent="0.25">
      <c r="A21" s="109"/>
      <c r="B21" s="36" t="s">
        <v>36</v>
      </c>
      <c r="C21" s="55">
        <v>260000</v>
      </c>
      <c r="D21" s="58">
        <v>40</v>
      </c>
      <c r="E21" s="59">
        <v>249130</v>
      </c>
      <c r="F21" s="96">
        <f>$U$2*(MIN(E$20:E$21)/E21)</f>
        <v>39.085910970176215</v>
      </c>
      <c r="G21" s="96">
        <f t="shared" si="3"/>
        <v>79.085910970176215</v>
      </c>
      <c r="H21" s="95"/>
      <c r="I21" s="97">
        <f t="shared" si="4"/>
        <v>0</v>
      </c>
      <c r="J21" s="98">
        <f t="shared" si="0"/>
        <v>0</v>
      </c>
      <c r="K21" s="92"/>
      <c r="L21" s="74">
        <f>+$E21*(1-K21)</f>
        <v>249130</v>
      </c>
      <c r="M21" s="82">
        <f>$U$2*(MIN(L$20:L$21)/L21)</f>
        <v>37.913333641070921</v>
      </c>
      <c r="N21" s="124">
        <f t="shared" si="1"/>
        <v>77.913333641070921</v>
      </c>
      <c r="O21" s="95"/>
      <c r="P21" s="50">
        <f t="shared" si="6"/>
        <v>0</v>
      </c>
      <c r="Q21" s="51">
        <f t="shared" si="2"/>
        <v>0</v>
      </c>
    </row>
    <row r="22" spans="1:24" ht="30" customHeight="1" thickBot="1" x14ac:dyDescent="0.3">
      <c r="B22" s="31" t="s">
        <v>12</v>
      </c>
      <c r="C22" s="32">
        <f>C9+C10+C11+C12+C13+C14+C15+C16+C18+C20</f>
        <v>592000</v>
      </c>
      <c r="I22" s="23" t="s">
        <v>13</v>
      </c>
      <c r="J22" s="71">
        <f>SUM(J9:J21)</f>
        <v>98</v>
      </c>
      <c r="N22" s="10">
        <f t="shared" si="1"/>
        <v>0</v>
      </c>
      <c r="P22" s="23" t="s">
        <v>13</v>
      </c>
      <c r="Q22" s="73">
        <f>SUM(Q9:Q21)</f>
        <v>98</v>
      </c>
    </row>
    <row r="23" spans="1:24" ht="26.5" customHeight="1" x14ac:dyDescent="0.3">
      <c r="J23" s="72">
        <f>E9+E10+E11+E12+E13+E14+E15+E16+E18+E20</f>
        <v>445427.55000000005</v>
      </c>
      <c r="Q23" s="60">
        <f>L9+L10+L11+L12+L13+L14+L15+L16+L18+L20</f>
        <v>433733.60029999993</v>
      </c>
    </row>
    <row r="24" spans="1:24" ht="26.5" customHeight="1" x14ac:dyDescent="0.3">
      <c r="A24" s="1" t="s">
        <v>2</v>
      </c>
      <c r="F24" s="39"/>
      <c r="G24" s="39"/>
    </row>
    <row r="25" spans="1:24" ht="26.5" customHeight="1" x14ac:dyDescent="0.3">
      <c r="A25" s="30" t="s">
        <v>40</v>
      </c>
    </row>
    <row r="27" spans="1:24" ht="26.5" customHeight="1" x14ac:dyDescent="0.25">
      <c r="A27" s="114"/>
      <c r="B27" s="114"/>
      <c r="C27" s="114"/>
      <c r="D27" s="114"/>
      <c r="E27" s="114"/>
      <c r="F27" s="114"/>
      <c r="G27" s="114"/>
    </row>
    <row r="28" spans="1:24" ht="26.5" customHeight="1" x14ac:dyDescent="0.25">
      <c r="I28" s="38"/>
      <c r="J28" s="38"/>
    </row>
    <row r="29" spans="1:24" ht="26.5" customHeight="1" x14ac:dyDescent="0.25">
      <c r="I29" s="38"/>
      <c r="J29" s="38"/>
    </row>
    <row r="31" spans="1:24" ht="26.5" customHeight="1" x14ac:dyDescent="0.25">
      <c r="F31" s="38"/>
      <c r="G31" s="39"/>
      <c r="M31" s="38"/>
    </row>
    <row r="32" spans="1:24" ht="26.5" customHeight="1" x14ac:dyDescent="0.25">
      <c r="D32" s="38"/>
      <c r="F32" s="38"/>
      <c r="G32" s="39"/>
    </row>
  </sheetData>
  <mergeCells count="9">
    <mergeCell ref="A27:G27"/>
    <mergeCell ref="K7:Q7"/>
    <mergeCell ref="A3:Q3"/>
    <mergeCell ref="A4:Q4"/>
    <mergeCell ref="A5:Q5"/>
    <mergeCell ref="E7:J7"/>
    <mergeCell ref="A18:A19"/>
    <mergeCell ref="A16:A17"/>
    <mergeCell ref="A20:A21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DOLORES PEREZ CASELLES</cp:lastModifiedBy>
  <cp:lastPrinted>2021-11-19T11:28:43Z</cp:lastPrinted>
  <dcterms:created xsi:type="dcterms:W3CDTF">2007-03-30T09:59:06Z</dcterms:created>
  <dcterms:modified xsi:type="dcterms:W3CDTF">2025-01-27T09:27:58Z</dcterms:modified>
</cp:coreProperties>
</file>