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U:\compras\general\unidad_a\TECNOLOGÍA, INTERACTIVOS Y SISTEMAS\EXPEDIENTES\2024\EXPEDIENTES COMITÉ\3. EVALUACION\S-06256-2024 Sistemas Radiantes y Multiplexores FM\INFORMES\"/>
    </mc:Choice>
  </mc:AlternateContent>
  <xr:revisionPtr revIDLastSave="0" documentId="13_ncr:1_{CB607F7E-92C1-493A-8947-13B23DD1D68C}" xr6:coauthVersionLast="36" xr6:coauthVersionMax="36" xr10:uidLastSave="{00000000-0000-0000-0000-000000000000}"/>
  <bookViews>
    <workbookView xWindow="0" yWindow="0" windowWidth="28800" windowHeight="11400" tabRatio="752" xr2:uid="{00000000-000D-0000-FFFF-FFFF00000000}"/>
  </bookViews>
  <sheets>
    <sheet name="ALTERNATIVA ADJUDICADA" sheetId="6" r:id="rId1"/>
    <sheet name="valoración" sheetId="5" r:id="rId2"/>
  </sheets>
  <definedNames>
    <definedName name="_xlnm.Print_Area" localSheetId="0">'ALTERNATIVA ADJUDICADA'!$A$1:$K$28</definedName>
    <definedName name="_xlnm.Print_Area" localSheetId="1">valoración!$A$2:$Q$29</definedName>
  </definedNames>
  <calcPr calcId="191029"/>
</workbook>
</file>

<file path=xl/calcChain.xml><?xml version="1.0" encoding="utf-8"?>
<calcChain xmlns="http://schemas.openxmlformats.org/spreadsheetml/2006/main">
  <c r="M22" i="5" l="1"/>
  <c r="M23" i="5"/>
  <c r="M24" i="5"/>
  <c r="M25" i="5"/>
  <c r="M19" i="5"/>
  <c r="M20" i="5"/>
  <c r="M21" i="5"/>
  <c r="M18" i="5"/>
  <c r="M17" i="5"/>
  <c r="M16" i="5"/>
  <c r="M15" i="5"/>
  <c r="M14" i="5"/>
  <c r="M13" i="5"/>
  <c r="M10" i="5"/>
  <c r="N10" i="5" s="1"/>
  <c r="U15" i="5"/>
  <c r="U17" i="5"/>
  <c r="K10" i="6"/>
  <c r="K11" i="6"/>
  <c r="K12" i="6"/>
  <c r="K13" i="6"/>
  <c r="K14" i="6"/>
  <c r="K15" i="6"/>
  <c r="K16" i="6"/>
  <c r="K17" i="6"/>
  <c r="K18" i="6"/>
  <c r="K19" i="6"/>
  <c r="K20" i="6"/>
  <c r="K21" i="6"/>
  <c r="K22" i="6"/>
  <c r="K23" i="6"/>
  <c r="K24" i="6"/>
  <c r="K25" i="6"/>
  <c r="D25" i="6"/>
  <c r="D24" i="6"/>
  <c r="D23" i="6"/>
  <c r="D22" i="6"/>
  <c r="D21" i="6"/>
  <c r="D19" i="6"/>
  <c r="D18" i="6"/>
  <c r="D17" i="6"/>
  <c r="D16" i="6"/>
  <c r="D15" i="6"/>
  <c r="D14" i="6"/>
  <c r="D13" i="6"/>
  <c r="D12" i="6"/>
  <c r="D11" i="6"/>
  <c r="D10" i="6"/>
  <c r="D9" i="6"/>
  <c r="C26" i="6"/>
  <c r="F25" i="5"/>
  <c r="F19" i="5"/>
  <c r="G19" i="5" s="1"/>
  <c r="F20" i="5"/>
  <c r="G20" i="5" s="1"/>
  <c r="F21" i="5"/>
  <c r="G21" i="5" s="1"/>
  <c r="F22" i="5"/>
  <c r="G22" i="5" s="1"/>
  <c r="F23" i="5"/>
  <c r="G23" i="5" s="1"/>
  <c r="F24" i="5"/>
  <c r="G24" i="5" s="1"/>
  <c r="F18" i="5"/>
  <c r="G18" i="5" s="1"/>
  <c r="F17" i="5"/>
  <c r="G17" i="5" s="1"/>
  <c r="F16" i="5"/>
  <c r="F15" i="5"/>
  <c r="F13" i="5"/>
  <c r="G13" i="5" s="1"/>
  <c r="F14" i="5"/>
  <c r="F11" i="5"/>
  <c r="F9" i="5"/>
  <c r="F10" i="5"/>
  <c r="F12" i="5"/>
  <c r="D25" i="5"/>
  <c r="D24" i="5"/>
  <c r="D23" i="5"/>
  <c r="D22" i="5"/>
  <c r="D16" i="5"/>
  <c r="D18" i="5"/>
  <c r="D17" i="5"/>
  <c r="D21" i="5"/>
  <c r="D19" i="5"/>
  <c r="D15" i="5"/>
  <c r="D14" i="5"/>
  <c r="D13" i="5"/>
  <c r="D12" i="5"/>
  <c r="D11" i="5"/>
  <c r="D10" i="5"/>
  <c r="D9" i="5"/>
  <c r="C26" i="5"/>
  <c r="L23" i="5"/>
  <c r="L21" i="5"/>
  <c r="L20" i="5"/>
  <c r="L19" i="5"/>
  <c r="L24" i="5"/>
  <c r="L16" i="5"/>
  <c r="L15" i="5"/>
  <c r="L14" i="5"/>
  <c r="L13" i="5"/>
  <c r="L22" i="5"/>
  <c r="L25" i="5"/>
  <c r="L18" i="5"/>
  <c r="L17" i="5"/>
  <c r="G25" i="5" l="1"/>
  <c r="G15" i="5"/>
  <c r="G16" i="5"/>
  <c r="G14" i="5"/>
  <c r="N23" i="5"/>
  <c r="N24" i="5"/>
  <c r="N22" i="5"/>
  <c r="N20" i="5"/>
  <c r="N21" i="5"/>
  <c r="N19" i="5"/>
  <c r="N25" i="5"/>
  <c r="K9" i="6"/>
  <c r="G11" i="5" l="1"/>
  <c r="G10" i="5"/>
  <c r="G9" i="5"/>
  <c r="G12" i="5"/>
  <c r="L9" i="5"/>
  <c r="L10" i="5"/>
  <c r="L11" i="5"/>
  <c r="L12" i="5"/>
  <c r="N26" i="5"/>
  <c r="P23" i="5" l="1"/>
  <c r="Q23" i="5" s="1"/>
  <c r="I23" i="5"/>
  <c r="J23" i="5" s="1"/>
  <c r="P14" i="5"/>
  <c r="I13" i="5"/>
  <c r="J13" i="5" s="1"/>
  <c r="I21" i="5"/>
  <c r="J21" i="5" s="1"/>
  <c r="I19" i="5"/>
  <c r="J19" i="5" s="1"/>
  <c r="I16" i="5"/>
  <c r="J16" i="5" s="1"/>
  <c r="I14" i="5"/>
  <c r="J14" i="5" s="1"/>
  <c r="P20" i="5"/>
  <c r="Q20" i="5" s="1"/>
  <c r="P24" i="5"/>
  <c r="Q24" i="5" s="1"/>
  <c r="P15" i="5"/>
  <c r="I20" i="5"/>
  <c r="J20" i="5" s="1"/>
  <c r="I24" i="5"/>
  <c r="J24" i="5" s="1"/>
  <c r="I15" i="5"/>
  <c r="J15" i="5" s="1"/>
  <c r="P13" i="5"/>
  <c r="P21" i="5"/>
  <c r="Q21" i="5" s="1"/>
  <c r="P16" i="5"/>
  <c r="P19" i="5"/>
  <c r="Q19" i="5" s="1"/>
  <c r="N15" i="5"/>
  <c r="Q15" i="5" s="1"/>
  <c r="N16" i="5"/>
  <c r="N13" i="5"/>
  <c r="N14" i="5"/>
  <c r="N17" i="5"/>
  <c r="N18" i="5"/>
  <c r="P25" i="5"/>
  <c r="Q25" i="5" s="1"/>
  <c r="I22" i="5"/>
  <c r="J22" i="5" s="1"/>
  <c r="I25" i="5"/>
  <c r="J25" i="5" s="1"/>
  <c r="P22" i="5"/>
  <c r="Q22" i="5" s="1"/>
  <c r="P10" i="5"/>
  <c r="I17" i="5"/>
  <c r="J17" i="5" s="1"/>
  <c r="P18" i="5"/>
  <c r="P17" i="5"/>
  <c r="I18" i="5"/>
  <c r="J18" i="5" s="1"/>
  <c r="M9" i="5"/>
  <c r="N9" i="5" s="1"/>
  <c r="M12" i="5"/>
  <c r="N12" i="5" s="1"/>
  <c r="M11" i="5"/>
  <c r="N11" i="5" s="1"/>
  <c r="I12" i="5"/>
  <c r="J12" i="5" s="1"/>
  <c r="P9" i="5"/>
  <c r="I11" i="5"/>
  <c r="J11" i="5" s="1"/>
  <c r="P12" i="5"/>
  <c r="I10" i="5"/>
  <c r="J10" i="5" s="1"/>
  <c r="P11" i="5"/>
  <c r="I9" i="5"/>
  <c r="J9" i="5" s="1"/>
  <c r="Q16" i="5" l="1"/>
  <c r="Q13" i="5"/>
  <c r="Q14" i="5"/>
  <c r="Q17" i="5"/>
  <c r="Q18" i="5"/>
  <c r="Q10" i="5"/>
  <c r="Q12" i="5"/>
  <c r="Q9" i="5"/>
  <c r="Q11" i="5"/>
  <c r="J26" i="6" l="1"/>
  <c r="A2" i="6" l="1"/>
  <c r="Q26" i="5" l="1"/>
  <c r="A4" i="6" l="1"/>
  <c r="A3" i="6"/>
  <c r="J26" i="5" l="1"/>
</calcChain>
</file>

<file path=xl/sharedStrings.xml><?xml version="1.0" encoding="utf-8"?>
<sst xmlns="http://schemas.openxmlformats.org/spreadsheetml/2006/main" count="96" uniqueCount="40">
  <si>
    <t>Puntuación técnica</t>
  </si>
  <si>
    <t>Puntuación económica</t>
  </si>
  <si>
    <t>De conformidad con los criterios de valoración establecidos en el Pliego de Condiciones Generales de Contratación de este Expediente.</t>
  </si>
  <si>
    <t>RESUMEN PUNTUACIÓN TÉCNICA Y ECONÓMICA</t>
  </si>
  <si>
    <t>Lotes</t>
  </si>
  <si>
    <t>Ofertas</t>
  </si>
  <si>
    <t>FÓRMULA PUNTUACIÓN ECONÓMICA: Adaptar a cada lote, estará condicionada por el número de ofertas y por los puntos que se dan a la oferta económica.</t>
  </si>
  <si>
    <t>Puntuación Total</t>
  </si>
  <si>
    <t>Adaptar la tabla al número de lotes y ofertas recibidas, insertando o eliminando filas, tener  en cuenta si se desestima una oferta, indicar los motivos..</t>
  </si>
  <si>
    <t>Oferta seleccionada</t>
  </si>
  <si>
    <t>Factor de ponderación</t>
  </si>
  <si>
    <t>Valoración ponderada</t>
  </si>
  <si>
    <t>Valor estimado total:</t>
  </si>
  <si>
    <t>Puntuación total ponderada</t>
  </si>
  <si>
    <t>Alternativa 1: ofertas individuales</t>
  </si>
  <si>
    <t>Baja oferta conjunta</t>
  </si>
  <si>
    <t>Total Puntuación</t>
  </si>
  <si>
    <t>Celda contigua: incluir puntuación económica indicada en los pliegos. Si los lotes se valoran con diferente puntuación económica hay que tenerlo en cuenta en la fórmula.</t>
  </si>
  <si>
    <t>Puntuación total ponderada:</t>
  </si>
  <si>
    <t>%  Ahorro s/ licitación</t>
  </si>
  <si>
    <t xml:space="preserve">Valor estimado   </t>
  </si>
  <si>
    <t xml:space="preserve">Importe Oferta </t>
  </si>
  <si>
    <r>
      <t>Importe Oferta</t>
    </r>
    <r>
      <rPr>
        <b/>
        <i/>
        <sz val="12"/>
        <rFont val="Tahoma"/>
        <family val="2"/>
      </rPr>
      <t xml:space="preserve"> </t>
    </r>
  </si>
  <si>
    <t>VIDEO MEDIOS, S.A.</t>
  </si>
  <si>
    <t xml:space="preserve">Valor estimado    </t>
  </si>
  <si>
    <t>PROPUESTA DE ADJUDICACIÓN DEL EXPEDIENTE S-06256-2024</t>
  </si>
  <si>
    <t>"Sistemas Radiantes y Multiplexores de FM para Centros Emisores RTVE"</t>
  </si>
  <si>
    <t>Lote 1:   Adquisición e instalación de Sistema Radiante de FM para el centro emisor de CRTVE en Muskilda (Navarra)</t>
  </si>
  <si>
    <t>Lote 2:Adquisición e instalación de Sistema Radiante y Multiplexor de FM para el centro emisor de CRTVE en San Miguel de Aralar (Navarra)</t>
  </si>
  <si>
    <t>Lote 3:Adquisición e instalación de Sistema Radiante y Multiplexor de FM para el centro emisor de CRTVE en Priego (Cuenca)</t>
  </si>
  <si>
    <t>Lote 4:Adquisición e instalación de Sistema Radiante de FM para el centro emisor de CRTVE en Melilla</t>
  </si>
  <si>
    <t>Lote 5:Adquisición e instalación de Sistema Radiante de FM para el centro emisor de CRTVE en Ceuta</t>
  </si>
  <si>
    <t>Lote 6:Adquisición e instalación de Sistema Radiante de FM para el centro emisor de CRTVE en Monte Xalo (La Coruña)</t>
  </si>
  <si>
    <t>Lote 7:Adquisición e instalación de Sistema Radiante de FM para el centro emisor de CRTVE en Xistral (Lugo)</t>
  </si>
  <si>
    <t>CASTOWERS SL</t>
  </si>
  <si>
    <t>GALLEGA DE SISTEMAS Y TELECOMUNICACIONES SL</t>
  </si>
  <si>
    <t>MOYANO TELSA SIST. RADIANTES Y TELECOM., S.A.</t>
  </si>
  <si>
    <t xml:space="preserve">     Alternativa 2: oferta conjunta "VIDEO MEDIOS,S.A. "  (3% de dtº en lotes 1 a 5 y 1% dtº en lotes 6 y 7)</t>
  </si>
  <si>
    <t>Madrid, a 6 de  febrero de 2025</t>
  </si>
  <si>
    <t>Madrid, a 6  de febrero 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</si>
</sst>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\ _€_-;\-* #,##0.00\ _€_-;_-* &quot;-&quot;??\ _€_-;_-@_-"/>
    <numFmt numFmtId="164" formatCode="_-* #,##0.00_-;\-* #,##0.00_-;_-* &quot;-&quot;??_-;_-@_-"/>
    <numFmt numFmtId="165" formatCode="_-* #,##0\ _€_-;\-* #,##0\ _€_-;_-* &quot;-&quot;??\ _€_-;_-@_-"/>
    <numFmt numFmtId="166" formatCode="#,##0.00\ &quot;€&quot;"/>
  </numFmts>
  <fonts count="21" x14ac:knownFonts="1">
    <font>
      <sz val="10"/>
      <name val="Arial"/>
    </font>
    <font>
      <sz val="8"/>
      <name val="Tahoma"/>
      <family val="2"/>
    </font>
    <font>
      <b/>
      <sz val="8"/>
      <name val="Tahoma"/>
      <family val="2"/>
    </font>
    <font>
      <sz val="10"/>
      <name val="Arial"/>
      <family val="2"/>
    </font>
    <font>
      <sz val="12"/>
      <name val="Arial"/>
      <family val="2"/>
    </font>
    <font>
      <sz val="11"/>
      <name val="Tahoma"/>
      <family val="2"/>
    </font>
    <font>
      <sz val="12"/>
      <name val="Tahoma"/>
      <family val="2"/>
    </font>
    <font>
      <sz val="10"/>
      <name val="Arial"/>
      <family val="2"/>
    </font>
    <font>
      <b/>
      <u/>
      <sz val="12"/>
      <name val="Bookman Old Style"/>
      <family val="1"/>
    </font>
    <font>
      <b/>
      <sz val="12"/>
      <name val="Tahoma"/>
      <family val="2"/>
    </font>
    <font>
      <b/>
      <sz val="10"/>
      <color rgb="FFFF0000"/>
      <name val="Arial"/>
      <family val="2"/>
    </font>
    <font>
      <b/>
      <sz val="8"/>
      <color rgb="FFFF0000"/>
      <name val="Arial"/>
      <family val="2"/>
    </font>
    <font>
      <b/>
      <sz val="8"/>
      <color rgb="FFFF0000"/>
      <name val="Tahoma"/>
      <family val="2"/>
    </font>
    <font>
      <b/>
      <i/>
      <sz val="12"/>
      <name val="Tahoma"/>
      <family val="2"/>
    </font>
    <font>
      <b/>
      <u/>
      <sz val="14"/>
      <color theme="9" tint="-0.249977111117893"/>
      <name val="Tahoma"/>
      <family val="2"/>
    </font>
    <font>
      <sz val="10"/>
      <name val="Arial"/>
      <family val="2"/>
    </font>
    <font>
      <b/>
      <sz val="10.5"/>
      <name val="Tahoma"/>
      <family val="2"/>
    </font>
    <font>
      <b/>
      <sz val="12"/>
      <name val="Arial"/>
      <family val="2"/>
    </font>
    <font>
      <b/>
      <sz val="12"/>
      <color rgb="FFFF0000"/>
      <name val="Tahoma"/>
      <family val="2"/>
    </font>
    <font>
      <b/>
      <sz val="14"/>
      <color theme="9"/>
      <name val="Tahoma"/>
      <family val="2"/>
    </font>
    <font>
      <sz val="1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medium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7" fillId="0" borderId="0" applyFont="0" applyFill="0" applyBorder="0" applyAlignment="0" applyProtection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166">
    <xf numFmtId="0" fontId="0" fillId="0" borderId="0" xfId="0"/>
    <xf numFmtId="0" fontId="5" fillId="0" borderId="5" xfId="0" applyFont="1" applyBorder="1"/>
    <xf numFmtId="0" fontId="6" fillId="0" borderId="0" xfId="0" applyFont="1" applyFill="1" applyBorder="1" applyAlignment="1">
      <alignment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right" indent="1"/>
    </xf>
    <xf numFmtId="0" fontId="2" fillId="0" borderId="0" xfId="0" applyFont="1" applyFill="1" applyBorder="1" applyAlignment="1">
      <alignment horizontal="right" indent="1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/>
    </xf>
    <xf numFmtId="0" fontId="6" fillId="0" borderId="0" xfId="0" applyFont="1" applyFill="1" applyBorder="1"/>
    <xf numFmtId="0" fontId="4" fillId="0" borderId="0" xfId="0" applyFont="1" applyFill="1" applyBorder="1" applyAlignment="1">
      <alignment vertical="center" wrapText="1"/>
    </xf>
    <xf numFmtId="0" fontId="3" fillId="0" borderId="0" xfId="0" applyFont="1" applyFill="1" applyBorder="1"/>
    <xf numFmtId="0" fontId="10" fillId="0" borderId="0" xfId="0" applyFont="1" applyAlignment="1">
      <alignment vertical="center" wrapText="1"/>
    </xf>
    <xf numFmtId="0" fontId="12" fillId="0" borderId="0" xfId="0" applyFont="1" applyFill="1" applyBorder="1"/>
    <xf numFmtId="0" fontId="11" fillId="0" borderId="1" xfId="0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166" fontId="6" fillId="0" borderId="9" xfId="0" applyNumberFormat="1" applyFont="1" applyFill="1" applyBorder="1" applyAlignment="1">
      <alignment horizontal="right" vertical="center" indent="1"/>
    </xf>
    <xf numFmtId="0" fontId="14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top"/>
    </xf>
    <xf numFmtId="165" fontId="5" fillId="0" borderId="9" xfId="2" applyNumberFormat="1" applyFont="1" applyFill="1" applyBorder="1" applyAlignment="1">
      <alignment horizontal="center" vertical="center"/>
    </xf>
    <xf numFmtId="0" fontId="16" fillId="0" borderId="14" xfId="0" applyNumberFormat="1" applyFont="1" applyFill="1" applyBorder="1" applyAlignment="1">
      <alignment horizontal="left" vertical="top" wrapText="1"/>
    </xf>
    <xf numFmtId="0" fontId="0" fillId="5" borderId="0" xfId="0" applyFill="1"/>
    <xf numFmtId="4" fontId="6" fillId="5" borderId="10" xfId="0" applyNumberFormat="1" applyFont="1" applyFill="1" applyBorder="1" applyAlignment="1">
      <alignment horizontal="right" vertical="center" indent="1"/>
    </xf>
    <xf numFmtId="0" fontId="4" fillId="5" borderId="0" xfId="0" applyFont="1" applyFill="1" applyBorder="1" applyAlignment="1">
      <alignment vertical="center" wrapText="1"/>
    </xf>
    <xf numFmtId="0" fontId="3" fillId="5" borderId="0" xfId="0" applyFont="1" applyFill="1" applyBorder="1"/>
    <xf numFmtId="0" fontId="16" fillId="5" borderId="14" xfId="0" applyNumberFormat="1" applyFont="1" applyFill="1" applyBorder="1" applyAlignment="1">
      <alignment horizontal="right" vertical="top" wrapText="1"/>
    </xf>
    <xf numFmtId="0" fontId="5" fillId="5" borderId="5" xfId="0" applyFont="1" applyFill="1" applyBorder="1"/>
    <xf numFmtId="0" fontId="9" fillId="0" borderId="2" xfId="0" applyNumberFormat="1" applyFont="1" applyFill="1" applyBorder="1" applyAlignment="1">
      <alignment horizontal="right" vertical="center" wrapText="1"/>
    </xf>
    <xf numFmtId="4" fontId="0" fillId="0" borderId="0" xfId="0" applyNumberFormat="1"/>
    <xf numFmtId="0" fontId="1" fillId="5" borderId="0" xfId="0" applyFont="1" applyFill="1" applyBorder="1"/>
    <xf numFmtId="0" fontId="9" fillId="5" borderId="4" xfId="0" applyFont="1" applyFill="1" applyBorder="1" applyAlignment="1">
      <alignment vertical="center" wrapText="1"/>
    </xf>
    <xf numFmtId="166" fontId="3" fillId="0" borderId="0" xfId="0" applyNumberFormat="1" applyFont="1" applyFill="1" applyBorder="1"/>
    <xf numFmtId="4" fontId="3" fillId="0" borderId="0" xfId="0" applyNumberFormat="1" applyFont="1" applyFill="1" applyBorder="1"/>
    <xf numFmtId="10" fontId="5" fillId="0" borderId="9" xfId="3" applyNumberFormat="1" applyFont="1" applyFill="1" applyBorder="1" applyAlignment="1">
      <alignment horizontal="center" vertical="center"/>
    </xf>
    <xf numFmtId="0" fontId="9" fillId="5" borderId="2" xfId="0" applyNumberFormat="1" applyFont="1" applyFill="1" applyBorder="1" applyAlignment="1">
      <alignment horizontal="right" vertical="center" wrapText="1"/>
    </xf>
    <xf numFmtId="0" fontId="0" fillId="5" borderId="0" xfId="0" applyFill="1" applyAlignment="1">
      <alignment horizontal="right"/>
    </xf>
    <xf numFmtId="166" fontId="17" fillId="5" borderId="2" xfId="0" applyNumberFormat="1" applyFont="1" applyFill="1" applyBorder="1" applyAlignment="1">
      <alignment horizontal="right" vertical="center"/>
    </xf>
    <xf numFmtId="0" fontId="1" fillId="0" borderId="17" xfId="0" applyFont="1" applyFill="1" applyBorder="1"/>
    <xf numFmtId="0" fontId="9" fillId="2" borderId="18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 wrapText="1"/>
    </xf>
    <xf numFmtId="4" fontId="6" fillId="5" borderId="16" xfId="0" applyNumberFormat="1" applyFont="1" applyFill="1" applyBorder="1" applyAlignment="1">
      <alignment horizontal="center" vertical="center"/>
    </xf>
    <xf numFmtId="166" fontId="6" fillId="0" borderId="14" xfId="0" applyNumberFormat="1" applyFont="1" applyFill="1" applyBorder="1" applyAlignment="1">
      <alignment horizontal="right" vertical="center" indent="1"/>
    </xf>
    <xf numFmtId="165" fontId="5" fillId="5" borderId="9" xfId="2" applyNumberFormat="1" applyFont="1" applyFill="1" applyBorder="1" applyAlignment="1">
      <alignment horizontal="center" vertical="center"/>
    </xf>
    <xf numFmtId="165" fontId="5" fillId="0" borderId="14" xfId="2" applyNumberFormat="1" applyFont="1" applyFill="1" applyBorder="1" applyAlignment="1">
      <alignment horizontal="center" vertical="center"/>
    </xf>
    <xf numFmtId="4" fontId="6" fillId="5" borderId="22" xfId="0" applyNumberFormat="1" applyFont="1" applyFill="1" applyBorder="1" applyAlignment="1">
      <alignment horizontal="right" vertical="center" indent="1"/>
    </xf>
    <xf numFmtId="10" fontId="5" fillId="0" borderId="22" xfId="0" applyNumberFormat="1" applyFont="1" applyFill="1" applyBorder="1" applyAlignment="1">
      <alignment horizontal="center" vertical="center"/>
    </xf>
    <xf numFmtId="164" fontId="5" fillId="0" borderId="15" xfId="2" applyNumberFormat="1" applyFont="1" applyFill="1" applyBorder="1" applyAlignment="1">
      <alignment horizontal="center" vertical="center"/>
    </xf>
    <xf numFmtId="10" fontId="5" fillId="0" borderId="10" xfId="0" applyNumberFormat="1" applyFont="1" applyFill="1" applyBorder="1" applyAlignment="1">
      <alignment horizontal="center" vertical="center"/>
    </xf>
    <xf numFmtId="164" fontId="5" fillId="0" borderId="11" xfId="2" applyNumberFormat="1" applyFont="1" applyFill="1" applyBorder="1" applyAlignment="1">
      <alignment horizontal="center" vertical="center"/>
    </xf>
    <xf numFmtId="4" fontId="6" fillId="5" borderId="2" xfId="0" applyNumberFormat="1" applyFont="1" applyFill="1" applyBorder="1" applyAlignment="1">
      <alignment horizontal="center" vertical="center"/>
    </xf>
    <xf numFmtId="166" fontId="6" fillId="5" borderId="25" xfId="0" applyNumberFormat="1" applyFont="1" applyFill="1" applyBorder="1" applyAlignment="1">
      <alignment horizontal="right" vertical="center" indent="1"/>
    </xf>
    <xf numFmtId="4" fontId="6" fillId="5" borderId="27" xfId="0" applyNumberFormat="1" applyFont="1" applyFill="1" applyBorder="1" applyAlignment="1">
      <alignment horizontal="right" vertical="center" indent="1"/>
    </xf>
    <xf numFmtId="165" fontId="5" fillId="0" borderId="25" xfId="2" applyNumberFormat="1" applyFont="1" applyFill="1" applyBorder="1" applyAlignment="1">
      <alignment horizontal="center" vertical="center"/>
    </xf>
    <xf numFmtId="10" fontId="5" fillId="0" borderId="27" xfId="0" applyNumberFormat="1" applyFont="1" applyFill="1" applyBorder="1" applyAlignment="1">
      <alignment horizontal="center" vertical="center"/>
    </xf>
    <xf numFmtId="164" fontId="5" fillId="0" borderId="26" xfId="2" applyNumberFormat="1" applyFont="1" applyFill="1" applyBorder="1" applyAlignment="1">
      <alignment horizontal="center" vertical="center"/>
    </xf>
    <xf numFmtId="10" fontId="5" fillId="0" borderId="25" xfId="3" applyNumberFormat="1" applyFont="1" applyFill="1" applyBorder="1" applyAlignment="1">
      <alignment horizontal="center" vertical="center"/>
    </xf>
    <xf numFmtId="166" fontId="6" fillId="0" borderId="24" xfId="0" applyNumberFormat="1" applyFont="1" applyFill="1" applyBorder="1" applyAlignment="1">
      <alignment horizontal="right" vertical="center" indent="1"/>
    </xf>
    <xf numFmtId="4" fontId="6" fillId="5" borderId="28" xfId="0" applyNumberFormat="1" applyFont="1" applyFill="1" applyBorder="1" applyAlignment="1">
      <alignment horizontal="right" vertical="center" indent="1"/>
    </xf>
    <xf numFmtId="165" fontId="5" fillId="5" borderId="25" xfId="2" applyNumberFormat="1" applyFont="1" applyFill="1" applyBorder="1" applyAlignment="1">
      <alignment horizontal="center" vertical="center"/>
    </xf>
    <xf numFmtId="164" fontId="5" fillId="0" borderId="26" xfId="2" applyFont="1" applyFill="1" applyBorder="1" applyAlignment="1">
      <alignment horizontal="center" vertical="center"/>
    </xf>
    <xf numFmtId="0" fontId="20" fillId="5" borderId="17" xfId="0" applyFont="1" applyFill="1" applyBorder="1"/>
    <xf numFmtId="0" fontId="1" fillId="5" borderId="17" xfId="0" applyFont="1" applyFill="1" applyBorder="1"/>
    <xf numFmtId="166" fontId="6" fillId="0" borderId="16" xfId="0" applyNumberFormat="1" applyFont="1" applyFill="1" applyBorder="1" applyAlignment="1">
      <alignment horizontal="left" vertical="center" wrapText="1"/>
    </xf>
    <xf numFmtId="166" fontId="6" fillId="0" borderId="16" xfId="0" applyNumberFormat="1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horizontal="right"/>
    </xf>
    <xf numFmtId="166" fontId="6" fillId="0" borderId="29" xfId="0" applyNumberFormat="1" applyFont="1" applyFill="1" applyBorder="1" applyAlignment="1">
      <alignment horizontal="right" vertical="center" wrapText="1"/>
    </xf>
    <xf numFmtId="164" fontId="5" fillId="0" borderId="11" xfId="2" applyFont="1" applyFill="1" applyBorder="1" applyAlignment="1">
      <alignment horizontal="center" vertical="center"/>
    </xf>
    <xf numFmtId="166" fontId="6" fillId="0" borderId="25" xfId="0" applyNumberFormat="1" applyFont="1" applyFill="1" applyBorder="1" applyAlignment="1">
      <alignment horizontal="left" vertical="center" wrapText="1"/>
    </xf>
    <xf numFmtId="166" fontId="6" fillId="0" borderId="29" xfId="0" applyNumberFormat="1" applyFont="1" applyFill="1" applyBorder="1" applyAlignment="1">
      <alignment horizontal="left" vertical="center" wrapText="1"/>
    </xf>
    <xf numFmtId="166" fontId="6" fillId="0" borderId="25" xfId="0" applyNumberFormat="1" applyFont="1" applyFill="1" applyBorder="1" applyAlignment="1">
      <alignment horizontal="right" vertical="center" indent="1"/>
    </xf>
    <xf numFmtId="166" fontId="6" fillId="0" borderId="30" xfId="0" applyNumberFormat="1" applyFont="1" applyFill="1" applyBorder="1" applyAlignment="1">
      <alignment horizontal="left" vertical="center" wrapText="1"/>
    </xf>
    <xf numFmtId="166" fontId="6" fillId="0" borderId="31" xfId="0" applyNumberFormat="1" applyFont="1" applyFill="1" applyBorder="1" applyAlignment="1">
      <alignment horizontal="right" vertical="center" wrapText="1"/>
    </xf>
    <xf numFmtId="4" fontId="6" fillId="5" borderId="32" xfId="0" applyNumberFormat="1" applyFont="1" applyFill="1" applyBorder="1" applyAlignment="1">
      <alignment horizontal="right" vertical="center" indent="1"/>
    </xf>
    <xf numFmtId="165" fontId="5" fillId="0" borderId="30" xfId="2" applyNumberFormat="1" applyFont="1" applyFill="1" applyBorder="1" applyAlignment="1">
      <alignment horizontal="center" vertical="center"/>
    </xf>
    <xf numFmtId="10" fontId="5" fillId="0" borderId="32" xfId="0" applyNumberFormat="1" applyFont="1" applyFill="1" applyBorder="1" applyAlignment="1">
      <alignment horizontal="center" vertical="center"/>
    </xf>
    <xf numFmtId="164" fontId="5" fillId="0" borderId="33" xfId="2" applyNumberFormat="1" applyFont="1" applyFill="1" applyBorder="1" applyAlignment="1">
      <alignment horizontal="center" vertical="center"/>
    </xf>
    <xf numFmtId="10" fontId="5" fillId="0" borderId="30" xfId="3" applyNumberFormat="1" applyFont="1" applyFill="1" applyBorder="1" applyAlignment="1">
      <alignment horizontal="center" vertical="center"/>
    </xf>
    <xf numFmtId="166" fontId="6" fillId="0" borderId="30" xfId="0" applyNumberFormat="1" applyFont="1" applyFill="1" applyBorder="1" applyAlignment="1">
      <alignment horizontal="right" vertical="center" indent="1"/>
    </xf>
    <xf numFmtId="165" fontId="5" fillId="5" borderId="30" xfId="2" applyNumberFormat="1" applyFont="1" applyFill="1" applyBorder="1" applyAlignment="1">
      <alignment horizontal="center" vertical="center"/>
    </xf>
    <xf numFmtId="164" fontId="5" fillId="0" borderId="33" xfId="2" applyFont="1" applyFill="1" applyBorder="1" applyAlignment="1">
      <alignment horizontal="center" vertical="center"/>
    </xf>
    <xf numFmtId="0" fontId="1" fillId="0" borderId="34" xfId="0" applyFont="1" applyFill="1" applyBorder="1"/>
    <xf numFmtId="166" fontId="6" fillId="0" borderId="31" xfId="0" applyNumberFormat="1" applyFont="1" applyFill="1" applyBorder="1" applyAlignment="1">
      <alignment horizontal="right" vertical="center" indent="1"/>
    </xf>
    <xf numFmtId="164" fontId="5" fillId="4" borderId="35" xfId="2" applyNumberFormat="1" applyFont="1" applyFill="1" applyBorder="1" applyAlignment="1">
      <alignment horizontal="center" vertical="center"/>
    </xf>
    <xf numFmtId="164" fontId="5" fillId="4" borderId="35" xfId="2" applyFont="1" applyFill="1" applyBorder="1" applyAlignment="1">
      <alignment horizontal="center" vertical="center"/>
    </xf>
    <xf numFmtId="166" fontId="6" fillId="4" borderId="30" xfId="0" applyNumberFormat="1" applyFont="1" applyFill="1" applyBorder="1" applyAlignment="1">
      <alignment horizontal="left" vertical="center" wrapText="1"/>
    </xf>
    <xf numFmtId="166" fontId="6" fillId="4" borderId="31" xfId="0" applyNumberFormat="1" applyFont="1" applyFill="1" applyBorder="1" applyAlignment="1">
      <alignment horizontal="right" vertical="center" wrapText="1"/>
    </xf>
    <xf numFmtId="4" fontId="6" fillId="4" borderId="32" xfId="0" applyNumberFormat="1" applyFont="1" applyFill="1" applyBorder="1" applyAlignment="1">
      <alignment horizontal="right" vertical="center" indent="1"/>
    </xf>
    <xf numFmtId="165" fontId="5" fillId="4" borderId="30" xfId="2" applyNumberFormat="1" applyFont="1" applyFill="1" applyBorder="1" applyAlignment="1">
      <alignment horizontal="center" vertical="center"/>
    </xf>
    <xf numFmtId="10" fontId="5" fillId="4" borderId="32" xfId="0" applyNumberFormat="1" applyFont="1" applyFill="1" applyBorder="1" applyAlignment="1">
      <alignment horizontal="center" vertical="center"/>
    </xf>
    <xf numFmtId="164" fontId="5" fillId="4" borderId="33" xfId="2" applyNumberFormat="1" applyFont="1" applyFill="1" applyBorder="1" applyAlignment="1">
      <alignment horizontal="center" vertical="center"/>
    </xf>
    <xf numFmtId="166" fontId="6" fillId="5" borderId="25" xfId="0" applyNumberFormat="1" applyFont="1" applyFill="1" applyBorder="1" applyAlignment="1">
      <alignment horizontal="left" vertical="center" wrapText="1"/>
    </xf>
    <xf numFmtId="166" fontId="6" fillId="5" borderId="29" xfId="0" applyNumberFormat="1" applyFont="1" applyFill="1" applyBorder="1" applyAlignment="1">
      <alignment horizontal="right" vertical="center" wrapText="1"/>
    </xf>
    <xf numFmtId="166" fontId="6" fillId="5" borderId="36" xfId="0" applyNumberFormat="1" applyFont="1" applyFill="1" applyBorder="1" applyAlignment="1">
      <alignment horizontal="right" vertical="center" wrapText="1"/>
    </xf>
    <xf numFmtId="10" fontId="5" fillId="5" borderId="27" xfId="0" applyNumberFormat="1" applyFont="1" applyFill="1" applyBorder="1" applyAlignment="1">
      <alignment horizontal="center" vertical="center"/>
    </xf>
    <xf numFmtId="164" fontId="5" fillId="5" borderId="26" xfId="2" applyNumberFormat="1" applyFont="1" applyFill="1" applyBorder="1" applyAlignment="1">
      <alignment horizontal="center" vertical="center"/>
    </xf>
    <xf numFmtId="10" fontId="5" fillId="5" borderId="25" xfId="3" applyNumberFormat="1" applyFont="1" applyFill="1" applyBorder="1" applyAlignment="1">
      <alignment horizontal="center" vertical="center"/>
    </xf>
    <xf numFmtId="10" fontId="5" fillId="5" borderId="30" xfId="3" applyNumberFormat="1" applyFont="1" applyFill="1" applyBorder="1" applyAlignment="1">
      <alignment horizontal="center" vertical="center"/>
    </xf>
    <xf numFmtId="1" fontId="6" fillId="0" borderId="16" xfId="0" applyNumberFormat="1" applyFont="1" applyFill="1" applyBorder="1" applyAlignment="1">
      <alignment horizontal="center" vertical="center" wrapText="1"/>
    </xf>
    <xf numFmtId="1" fontId="6" fillId="4" borderId="31" xfId="0" applyNumberFormat="1" applyFont="1" applyFill="1" applyBorder="1" applyAlignment="1">
      <alignment horizontal="center" vertical="center" wrapText="1"/>
    </xf>
    <xf numFmtId="1" fontId="6" fillId="0" borderId="31" xfId="0" applyNumberFormat="1" applyFont="1" applyFill="1" applyBorder="1" applyAlignment="1">
      <alignment horizontal="center" vertical="center" wrapText="1"/>
    </xf>
    <xf numFmtId="1" fontId="6" fillId="0" borderId="29" xfId="0" applyNumberFormat="1" applyFont="1" applyFill="1" applyBorder="1" applyAlignment="1">
      <alignment horizontal="center" vertical="center" wrapText="1"/>
    </xf>
    <xf numFmtId="1" fontId="6" fillId="5" borderId="29" xfId="0" applyNumberFormat="1" applyFont="1" applyFill="1" applyBorder="1" applyAlignment="1">
      <alignment horizontal="center" vertical="center" wrapText="1"/>
    </xf>
    <xf numFmtId="0" fontId="0" fillId="0" borderId="17" xfId="0" applyBorder="1"/>
    <xf numFmtId="166" fontId="6" fillId="4" borderId="30" xfId="0" applyNumberFormat="1" applyFont="1" applyFill="1" applyBorder="1" applyAlignment="1">
      <alignment horizontal="right" vertical="center" indent="1"/>
    </xf>
    <xf numFmtId="4" fontId="6" fillId="4" borderId="31" xfId="0" applyNumberFormat="1" applyFont="1" applyFill="1" applyBorder="1" applyAlignment="1">
      <alignment horizontal="center" vertical="center"/>
    </xf>
    <xf numFmtId="0" fontId="0" fillId="0" borderId="34" xfId="0" applyBorder="1"/>
    <xf numFmtId="4" fontId="6" fillId="5" borderId="31" xfId="0" applyNumberFormat="1" applyFont="1" applyFill="1" applyBorder="1" applyAlignment="1">
      <alignment horizontal="center" vertical="center"/>
    </xf>
    <xf numFmtId="4" fontId="6" fillId="5" borderId="29" xfId="0" applyNumberFormat="1" applyFont="1" applyFill="1" applyBorder="1" applyAlignment="1">
      <alignment horizontal="center" vertical="center"/>
    </xf>
    <xf numFmtId="166" fontId="6" fillId="4" borderId="23" xfId="0" applyNumberFormat="1" applyFont="1" applyFill="1" applyBorder="1" applyAlignment="1">
      <alignment horizontal="left" vertical="center" wrapText="1"/>
    </xf>
    <xf numFmtId="166" fontId="6" fillId="4" borderId="4" xfId="0" applyNumberFormat="1" applyFont="1" applyFill="1" applyBorder="1" applyAlignment="1">
      <alignment horizontal="right" vertical="center" wrapText="1"/>
    </xf>
    <xf numFmtId="1" fontId="6" fillId="4" borderId="4" xfId="0" applyNumberFormat="1" applyFont="1" applyFill="1" applyBorder="1" applyAlignment="1">
      <alignment horizontal="center" vertical="center" wrapText="1"/>
    </xf>
    <xf numFmtId="166" fontId="6" fillId="4" borderId="37" xfId="0" applyNumberFormat="1" applyFont="1" applyFill="1" applyBorder="1" applyAlignment="1">
      <alignment horizontal="right" vertical="center" indent="1"/>
    </xf>
    <xf numFmtId="4" fontId="6" fillId="4" borderId="18" xfId="0" applyNumberFormat="1" applyFont="1" applyFill="1" applyBorder="1" applyAlignment="1">
      <alignment horizontal="right" vertical="center" indent="1"/>
    </xf>
    <xf numFmtId="165" fontId="5" fillId="4" borderId="37" xfId="2" applyNumberFormat="1" applyFont="1" applyFill="1" applyBorder="1" applyAlignment="1">
      <alignment horizontal="center" vertical="center"/>
    </xf>
    <xf numFmtId="10" fontId="5" fillId="4" borderId="18" xfId="0" applyNumberFormat="1" applyFont="1" applyFill="1" applyBorder="1" applyAlignment="1">
      <alignment horizontal="center" vertical="center"/>
    </xf>
    <xf numFmtId="164" fontId="5" fillId="4" borderId="19" xfId="2" applyNumberFormat="1" applyFont="1" applyFill="1" applyBorder="1" applyAlignment="1">
      <alignment horizontal="center" vertical="center"/>
    </xf>
    <xf numFmtId="4" fontId="6" fillId="4" borderId="21" xfId="0" applyNumberFormat="1" applyFont="1" applyFill="1" applyBorder="1" applyAlignment="1">
      <alignment horizontal="center" vertical="center"/>
    </xf>
    <xf numFmtId="166" fontId="6" fillId="5" borderId="30" xfId="0" applyNumberFormat="1" applyFont="1" applyFill="1" applyBorder="1" applyAlignment="1">
      <alignment horizontal="left" vertical="center" wrapText="1"/>
    </xf>
    <xf numFmtId="166" fontId="6" fillId="5" borderId="31" xfId="0" applyNumberFormat="1" applyFont="1" applyFill="1" applyBorder="1" applyAlignment="1">
      <alignment horizontal="right" vertical="center" wrapText="1"/>
    </xf>
    <xf numFmtId="1" fontId="6" fillId="5" borderId="31" xfId="0" applyNumberFormat="1" applyFont="1" applyFill="1" applyBorder="1" applyAlignment="1">
      <alignment horizontal="center" vertical="center" wrapText="1"/>
    </xf>
    <xf numFmtId="10" fontId="5" fillId="5" borderId="32" xfId="0" applyNumberFormat="1" applyFont="1" applyFill="1" applyBorder="1" applyAlignment="1">
      <alignment horizontal="center" vertical="center"/>
    </xf>
    <xf numFmtId="166" fontId="6" fillId="5" borderId="29" xfId="0" applyNumberFormat="1" applyFont="1" applyFill="1" applyBorder="1" applyAlignment="1">
      <alignment horizontal="left" vertical="center" wrapText="1"/>
    </xf>
    <xf numFmtId="164" fontId="5" fillId="5" borderId="33" xfId="2" applyNumberFormat="1" applyFont="1" applyFill="1" applyBorder="1" applyAlignment="1">
      <alignment horizontal="center" vertical="center"/>
    </xf>
    <xf numFmtId="166" fontId="6" fillId="5" borderId="20" xfId="0" applyNumberFormat="1" applyFont="1" applyFill="1" applyBorder="1" applyAlignment="1">
      <alignment horizontal="right" vertical="center" wrapText="1"/>
    </xf>
    <xf numFmtId="0" fontId="3" fillId="0" borderId="0" xfId="0" applyFont="1"/>
    <xf numFmtId="166" fontId="6" fillId="4" borderId="39" xfId="0" applyNumberFormat="1" applyFont="1" applyFill="1" applyBorder="1" applyAlignment="1">
      <alignment horizontal="left" vertical="center" wrapText="1"/>
    </xf>
    <xf numFmtId="166" fontId="6" fillId="4" borderId="39" xfId="0" applyNumberFormat="1" applyFont="1" applyFill="1" applyBorder="1" applyAlignment="1">
      <alignment horizontal="right" vertical="center" wrapText="1"/>
    </xf>
    <xf numFmtId="1" fontId="6" fillId="4" borderId="39" xfId="0" applyNumberFormat="1" applyFont="1" applyFill="1" applyBorder="1" applyAlignment="1">
      <alignment horizontal="center" vertical="center" wrapText="1"/>
    </xf>
    <xf numFmtId="166" fontId="6" fillId="4" borderId="40" xfId="0" applyNumberFormat="1" applyFont="1" applyFill="1" applyBorder="1" applyAlignment="1">
      <alignment horizontal="right" vertical="center" indent="1"/>
    </xf>
    <xf numFmtId="4" fontId="6" fillId="4" borderId="41" xfId="0" applyNumberFormat="1" applyFont="1" applyFill="1" applyBorder="1" applyAlignment="1">
      <alignment horizontal="right" vertical="center" indent="1"/>
    </xf>
    <xf numFmtId="165" fontId="5" fillId="4" borderId="40" xfId="2" applyNumberFormat="1" applyFont="1" applyFill="1" applyBorder="1" applyAlignment="1">
      <alignment horizontal="center" vertical="center"/>
    </xf>
    <xf numFmtId="10" fontId="5" fillId="4" borderId="41" xfId="0" applyNumberFormat="1" applyFont="1" applyFill="1" applyBorder="1" applyAlignment="1">
      <alignment horizontal="center" vertical="center"/>
    </xf>
    <xf numFmtId="4" fontId="6" fillId="4" borderId="39" xfId="0" applyNumberFormat="1" applyFont="1" applyFill="1" applyBorder="1" applyAlignment="1">
      <alignment horizontal="center" vertical="center"/>
    </xf>
    <xf numFmtId="166" fontId="6" fillId="5" borderId="30" xfId="0" applyNumberFormat="1" applyFont="1" applyFill="1" applyBorder="1" applyAlignment="1">
      <alignment horizontal="right" vertical="center" indent="1"/>
    </xf>
    <xf numFmtId="164" fontId="5" fillId="4" borderId="15" xfId="2" applyFont="1" applyFill="1" applyBorder="1" applyAlignment="1">
      <alignment horizontal="center" vertical="center"/>
    </xf>
    <xf numFmtId="166" fontId="6" fillId="0" borderId="39" xfId="0" applyNumberFormat="1" applyFont="1" applyFill="1" applyBorder="1" applyAlignment="1">
      <alignment horizontal="left" vertical="center" wrapText="1"/>
    </xf>
    <xf numFmtId="166" fontId="6" fillId="0" borderId="39" xfId="0" applyNumberFormat="1" applyFont="1" applyFill="1" applyBorder="1" applyAlignment="1">
      <alignment horizontal="right" vertical="center" wrapText="1"/>
    </xf>
    <xf numFmtId="1" fontId="6" fillId="0" borderId="39" xfId="0" applyNumberFormat="1" applyFont="1" applyFill="1" applyBorder="1" applyAlignment="1">
      <alignment horizontal="center" vertical="center" wrapText="1"/>
    </xf>
    <xf numFmtId="166" fontId="6" fillId="5" borderId="40" xfId="0" applyNumberFormat="1" applyFont="1" applyFill="1" applyBorder="1" applyAlignment="1">
      <alignment horizontal="right" vertical="center" indent="1"/>
    </xf>
    <xf numFmtId="4" fontId="6" fillId="5" borderId="41" xfId="0" applyNumberFormat="1" applyFont="1" applyFill="1" applyBorder="1" applyAlignment="1">
      <alignment horizontal="right" vertical="center" indent="1"/>
    </xf>
    <xf numFmtId="165" fontId="5" fillId="0" borderId="40" xfId="2" applyNumberFormat="1" applyFont="1" applyFill="1" applyBorder="1" applyAlignment="1">
      <alignment horizontal="center" vertical="center"/>
    </xf>
    <xf numFmtId="10" fontId="5" fillId="0" borderId="41" xfId="0" applyNumberFormat="1" applyFont="1" applyFill="1" applyBorder="1" applyAlignment="1">
      <alignment horizontal="center" vertical="center"/>
    </xf>
    <xf numFmtId="164" fontId="5" fillId="0" borderId="35" xfId="2" applyNumberFormat="1" applyFont="1" applyFill="1" applyBorder="1" applyAlignment="1">
      <alignment horizontal="center" vertical="center"/>
    </xf>
    <xf numFmtId="4" fontId="6" fillId="5" borderId="39" xfId="0" applyNumberFormat="1" applyFont="1" applyFill="1" applyBorder="1" applyAlignment="1">
      <alignment horizontal="center" vertical="center"/>
    </xf>
    <xf numFmtId="2" fontId="0" fillId="0" borderId="0" xfId="0" applyNumberFormat="1"/>
    <xf numFmtId="166" fontId="0" fillId="5" borderId="0" xfId="0" applyNumberFormat="1" applyFill="1"/>
    <xf numFmtId="0" fontId="19" fillId="5" borderId="0" xfId="0" applyFont="1" applyFill="1" applyAlignment="1">
      <alignment horizontal="center"/>
    </xf>
    <xf numFmtId="9" fontId="18" fillId="5" borderId="3" xfId="3" applyFont="1" applyFill="1" applyBorder="1" applyAlignment="1">
      <alignment horizontal="left" vertical="center"/>
    </xf>
    <xf numFmtId="9" fontId="18" fillId="5" borderId="12" xfId="3" applyFont="1" applyFill="1" applyBorder="1" applyAlignment="1">
      <alignment horizontal="left" vertical="center"/>
    </xf>
    <xf numFmtId="9" fontId="18" fillId="5" borderId="13" xfId="3" applyFont="1" applyFill="1" applyBorder="1" applyAlignment="1">
      <alignment horizontal="left" vertical="center"/>
    </xf>
    <xf numFmtId="0" fontId="9" fillId="3" borderId="38" xfId="0" applyFont="1" applyFill="1" applyBorder="1" applyAlignment="1">
      <alignment horizontal="left" vertical="center" wrapText="1"/>
    </xf>
    <xf numFmtId="0" fontId="9" fillId="3" borderId="4" xfId="0" applyFont="1" applyFill="1" applyBorder="1" applyAlignment="1">
      <alignment horizontal="left" vertical="center" wrapText="1"/>
    </xf>
    <xf numFmtId="0" fontId="9" fillId="3" borderId="31" xfId="0" applyFont="1" applyFill="1" applyBorder="1" applyAlignment="1">
      <alignment horizontal="left" vertical="center" wrapText="1"/>
    </xf>
    <xf numFmtId="0" fontId="9" fillId="3" borderId="21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top" wrapText="1"/>
    </xf>
    <xf numFmtId="9" fontId="18" fillId="0" borderId="3" xfId="3" applyFont="1" applyFill="1" applyBorder="1" applyAlignment="1">
      <alignment horizontal="left" vertical="center"/>
    </xf>
    <xf numFmtId="9" fontId="18" fillId="0" borderId="12" xfId="3" applyFont="1" applyFill="1" applyBorder="1" applyAlignment="1">
      <alignment horizontal="left" vertical="center"/>
    </xf>
    <xf numFmtId="9" fontId="18" fillId="0" borderId="13" xfId="3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center" vertical="center" wrapText="1"/>
    </xf>
    <xf numFmtId="165" fontId="18" fillId="0" borderId="3" xfId="2" applyNumberFormat="1" applyFont="1" applyFill="1" applyBorder="1" applyAlignment="1">
      <alignment horizontal="left" vertical="center"/>
    </xf>
    <xf numFmtId="165" fontId="18" fillId="0" borderId="12" xfId="2" applyNumberFormat="1" applyFont="1" applyFill="1" applyBorder="1" applyAlignment="1">
      <alignment horizontal="left" vertical="center"/>
    </xf>
    <xf numFmtId="165" fontId="18" fillId="0" borderId="13" xfId="2" applyNumberFormat="1" applyFont="1" applyFill="1" applyBorder="1" applyAlignment="1">
      <alignment horizontal="left" vertical="center"/>
    </xf>
    <xf numFmtId="0" fontId="9" fillId="3" borderId="2" xfId="0" applyFont="1" applyFill="1" applyBorder="1" applyAlignment="1">
      <alignment horizontal="left" vertical="center" wrapText="1"/>
    </xf>
  </cellXfs>
  <cellStyles count="4">
    <cellStyle name="Millares" xfId="2" builtinId="3"/>
    <cellStyle name="Millares 2" xfId="1" xr:uid="{00000000-0005-0000-0000-000001000000}"/>
    <cellStyle name="Normal" xfId="0" builtinId="0"/>
    <cellStyle name="Porcentaje" xfId="3" builtinId="5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1089660</xdr:colOff>
      <xdr:row>0</xdr:row>
      <xdr:rowOff>556260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0" y="0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249555</xdr:colOff>
      <xdr:row>1</xdr:row>
      <xdr:rowOff>28575</xdr:rowOff>
    </xdr:from>
    <xdr:to>
      <xdr:col>0</xdr:col>
      <xdr:colOff>2295071</xdr:colOff>
      <xdr:row>3</xdr:row>
      <xdr:rowOff>199571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249555" y="364218"/>
          <a:ext cx="2045516" cy="8422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T31"/>
  <sheetViews>
    <sheetView tabSelected="1" zoomScale="70" zoomScaleNormal="70" workbookViewId="0">
      <selection activeCell="E28" sqref="E28"/>
    </sheetView>
  </sheetViews>
  <sheetFormatPr baseColWidth="10" defaultRowHeight="12.5" x14ac:dyDescent="0.25"/>
  <cols>
    <col min="1" max="1" width="96.7265625" customWidth="1"/>
    <col min="2" max="2" width="24.453125" customWidth="1"/>
    <col min="3" max="3" width="27.453125" customWidth="1"/>
    <col min="4" max="4" width="21.1796875" customWidth="1"/>
    <col min="5" max="5" width="20.26953125" customWidth="1"/>
    <col min="6" max="9" width="16.7265625" customWidth="1"/>
    <col min="10" max="10" width="35.453125" customWidth="1"/>
    <col min="11" max="11" width="18.1796875" customWidth="1"/>
  </cols>
  <sheetData>
    <row r="1" spans="1:46" ht="48" customHeight="1" x14ac:dyDescent="0.25">
      <c r="A1" s="24"/>
      <c r="B1" s="24"/>
      <c r="C1" s="24"/>
      <c r="D1" s="24"/>
      <c r="E1" s="24"/>
      <c r="F1" s="24"/>
      <c r="G1" s="24"/>
      <c r="H1" s="24"/>
      <c r="I1" s="24"/>
      <c r="J1" s="24"/>
      <c r="K1" s="24"/>
    </row>
    <row r="2" spans="1:46" ht="17.5" x14ac:dyDescent="0.35">
      <c r="A2" s="149" t="str">
        <f>valoración!A3</f>
        <v>PROPUESTA DE ADJUDICACIÓN DEL EXPEDIENTE S-06256-2024</v>
      </c>
      <c r="B2" s="149"/>
      <c r="C2" s="149"/>
      <c r="D2" s="149"/>
      <c r="E2" s="149"/>
      <c r="F2" s="149"/>
      <c r="G2" s="149"/>
      <c r="H2" s="149"/>
      <c r="I2" s="149"/>
      <c r="J2" s="149"/>
      <c r="K2" s="24"/>
    </row>
    <row r="3" spans="1:46" ht="17.5" x14ac:dyDescent="0.35">
      <c r="A3" s="149" t="str">
        <f>valoración!A4</f>
        <v>"Sistemas Radiantes y Multiplexores de FM para Centros Emisores RTVE"</v>
      </c>
      <c r="B3" s="149"/>
      <c r="C3" s="149"/>
      <c r="D3" s="149"/>
      <c r="E3" s="149"/>
      <c r="F3" s="149"/>
      <c r="G3" s="149"/>
      <c r="H3" s="149"/>
      <c r="I3" s="149"/>
      <c r="J3" s="149"/>
      <c r="K3" s="24"/>
    </row>
    <row r="4" spans="1:46" ht="17.5" x14ac:dyDescent="0.35">
      <c r="A4" s="149" t="str">
        <f>valoración!A5</f>
        <v>RESUMEN PUNTUACIÓN TÉCNICA Y ECONÓMICA</v>
      </c>
      <c r="B4" s="149"/>
      <c r="C4" s="149"/>
      <c r="D4" s="149"/>
      <c r="E4" s="149"/>
      <c r="F4" s="149"/>
      <c r="G4" s="149"/>
      <c r="H4" s="149"/>
      <c r="I4" s="149"/>
      <c r="J4" s="149"/>
      <c r="K4" s="24"/>
    </row>
    <row r="5" spans="1:46" x14ac:dyDescent="0.25">
      <c r="A5" s="24"/>
      <c r="B5" s="24"/>
      <c r="C5" s="24"/>
      <c r="D5" s="24"/>
      <c r="E5" s="24"/>
      <c r="F5" s="24"/>
      <c r="G5" s="24"/>
      <c r="H5" s="24"/>
      <c r="I5" s="24"/>
      <c r="J5" s="24"/>
      <c r="K5" s="24"/>
    </row>
    <row r="6" spans="1:46" ht="13" thickBot="1" x14ac:dyDescent="0.3">
      <c r="A6" s="24"/>
      <c r="B6" s="24"/>
      <c r="C6" s="24"/>
      <c r="D6" s="24"/>
      <c r="E6" s="24"/>
      <c r="F6" s="24"/>
      <c r="G6" s="24"/>
      <c r="H6" s="24"/>
      <c r="I6" s="24"/>
      <c r="J6" s="24"/>
      <c r="K6" s="24"/>
    </row>
    <row r="7" spans="1:46" ht="30.75" customHeight="1" thickBot="1" x14ac:dyDescent="0.3">
      <c r="A7" s="24"/>
      <c r="B7" s="24"/>
      <c r="C7" s="24"/>
      <c r="D7" s="24"/>
      <c r="E7" s="150" t="s">
        <v>14</v>
      </c>
      <c r="F7" s="151"/>
      <c r="G7" s="151"/>
      <c r="H7" s="151"/>
      <c r="I7" s="151"/>
      <c r="J7" s="152"/>
      <c r="K7" s="24"/>
    </row>
    <row r="8" spans="1:46" ht="30.5" thickBot="1" x14ac:dyDescent="0.3">
      <c r="A8" s="15" t="s">
        <v>4</v>
      </c>
      <c r="B8" s="16" t="s">
        <v>5</v>
      </c>
      <c r="C8" s="17" t="s">
        <v>24</v>
      </c>
      <c r="D8" s="18" t="s">
        <v>0</v>
      </c>
      <c r="E8" s="16" t="s">
        <v>21</v>
      </c>
      <c r="F8" s="17" t="s">
        <v>1</v>
      </c>
      <c r="G8" s="17" t="s">
        <v>16</v>
      </c>
      <c r="H8" s="17" t="s">
        <v>9</v>
      </c>
      <c r="I8" s="17" t="s">
        <v>10</v>
      </c>
      <c r="J8" s="18" t="s">
        <v>11</v>
      </c>
      <c r="K8" s="17" t="s">
        <v>19</v>
      </c>
    </row>
    <row r="9" spans="1:46" s="105" customFormat="1" ht="30" customHeight="1" x14ac:dyDescent="0.25">
      <c r="A9" s="156" t="s">
        <v>27</v>
      </c>
      <c r="B9" s="65" t="s">
        <v>23</v>
      </c>
      <c r="C9" s="66">
        <v>19000</v>
      </c>
      <c r="D9" s="100">
        <f>15+20</f>
        <v>35</v>
      </c>
      <c r="E9" s="19">
        <v>6826.68</v>
      </c>
      <c r="F9" s="25">
        <v>55</v>
      </c>
      <c r="G9" s="25">
        <v>90</v>
      </c>
      <c r="H9" s="22"/>
      <c r="I9" s="50"/>
      <c r="J9" s="51">
        <v>0</v>
      </c>
      <c r="K9" s="43">
        <f>100-($E9*100/$C9)</f>
        <v>64.070105263157899</v>
      </c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</row>
    <row r="10" spans="1:46" s="108" customFormat="1" ht="30" customHeight="1" thickBot="1" x14ac:dyDescent="0.3">
      <c r="A10" s="155"/>
      <c r="B10" s="87" t="s">
        <v>34</v>
      </c>
      <c r="C10" s="88">
        <v>19000</v>
      </c>
      <c r="D10" s="101">
        <f>15+22</f>
        <v>37</v>
      </c>
      <c r="E10" s="106">
        <v>7000</v>
      </c>
      <c r="F10" s="89">
        <v>53.638199999999998</v>
      </c>
      <c r="G10" s="89">
        <v>90.638199999999998</v>
      </c>
      <c r="H10" s="90">
        <v>1</v>
      </c>
      <c r="I10" s="91">
        <v>5.7401812688821753E-2</v>
      </c>
      <c r="J10" s="92">
        <v>5.2027969788519641</v>
      </c>
      <c r="K10" s="107">
        <f t="shared" ref="K10:K25" si="0">100-($E10*100/$C10)</f>
        <v>63.157894736842103</v>
      </c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</row>
    <row r="11" spans="1:46" s="105" customFormat="1" ht="30" customHeight="1" thickTop="1" x14ac:dyDescent="0.25">
      <c r="A11" s="153" t="s">
        <v>28</v>
      </c>
      <c r="B11" s="128" t="s">
        <v>23</v>
      </c>
      <c r="C11" s="129">
        <v>25000</v>
      </c>
      <c r="D11" s="130">
        <f>15+20</f>
        <v>35</v>
      </c>
      <c r="E11" s="131">
        <v>23846.86</v>
      </c>
      <c r="F11" s="132">
        <v>55</v>
      </c>
      <c r="G11" s="132">
        <v>90</v>
      </c>
      <c r="H11" s="133">
        <v>1</v>
      </c>
      <c r="I11" s="134">
        <v>7.5528700906344406E-2</v>
      </c>
      <c r="J11" s="85">
        <v>6.7975830815709966</v>
      </c>
      <c r="K11" s="135">
        <f t="shared" si="0"/>
        <v>4.612560000000002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</row>
    <row r="12" spans="1:46" s="108" customFormat="1" ht="30" customHeight="1" thickBot="1" x14ac:dyDescent="0.3">
      <c r="A12" s="155"/>
      <c r="B12" s="73" t="s">
        <v>34</v>
      </c>
      <c r="C12" s="74">
        <v>25000</v>
      </c>
      <c r="D12" s="102">
        <f>15+22</f>
        <v>37</v>
      </c>
      <c r="E12" s="80">
        <v>24999</v>
      </c>
      <c r="F12" s="75">
        <v>52.465190607624308</v>
      </c>
      <c r="G12" s="75">
        <v>89.465190607624308</v>
      </c>
      <c r="H12" s="76"/>
      <c r="I12" s="77"/>
      <c r="J12" s="78">
        <v>0</v>
      </c>
      <c r="K12" s="109">
        <f t="shared" si="0"/>
        <v>4.0000000000048885E-3</v>
      </c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</row>
    <row r="13" spans="1:46" s="105" customFormat="1" ht="30" customHeight="1" thickTop="1" x14ac:dyDescent="0.25">
      <c r="A13" s="153" t="s">
        <v>29</v>
      </c>
      <c r="B13" s="128" t="s">
        <v>23</v>
      </c>
      <c r="C13" s="129">
        <v>25000</v>
      </c>
      <c r="D13" s="130">
        <f>15+20</f>
        <v>35</v>
      </c>
      <c r="E13" s="131">
        <v>21911.82</v>
      </c>
      <c r="F13" s="132">
        <v>55</v>
      </c>
      <c r="G13" s="132">
        <v>90</v>
      </c>
      <c r="H13" s="133">
        <v>1</v>
      </c>
      <c r="I13" s="134">
        <v>7.5528700906344406E-2</v>
      </c>
      <c r="J13" s="85">
        <v>6.7975830815709966</v>
      </c>
      <c r="K13" s="135">
        <f t="shared" si="0"/>
        <v>12.352720000000005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</row>
    <row r="14" spans="1:46" ht="30" customHeight="1" thickBot="1" x14ac:dyDescent="0.3">
      <c r="A14" s="155"/>
      <c r="B14" s="73" t="s">
        <v>34</v>
      </c>
      <c r="C14" s="74">
        <v>25000</v>
      </c>
      <c r="D14" s="102">
        <f>15+22</f>
        <v>37</v>
      </c>
      <c r="E14" s="136">
        <v>24900</v>
      </c>
      <c r="F14" s="75">
        <v>48.399602409638554</v>
      </c>
      <c r="G14" s="75">
        <v>85.399602409638561</v>
      </c>
      <c r="H14" s="76"/>
      <c r="I14" s="77"/>
      <c r="J14" s="78">
        <v>0</v>
      </c>
      <c r="K14" s="109">
        <f t="shared" si="0"/>
        <v>0.40000000000000568</v>
      </c>
    </row>
    <row r="15" spans="1:46" s="105" customFormat="1" ht="30" customHeight="1" thickTop="1" x14ac:dyDescent="0.25">
      <c r="A15" s="153" t="s">
        <v>30</v>
      </c>
      <c r="B15" s="128" t="s">
        <v>23</v>
      </c>
      <c r="C15" s="129">
        <v>31000</v>
      </c>
      <c r="D15" s="130">
        <f>15+20</f>
        <v>35</v>
      </c>
      <c r="E15" s="131">
        <v>12398.91</v>
      </c>
      <c r="F15" s="132">
        <v>55</v>
      </c>
      <c r="G15" s="132">
        <v>90</v>
      </c>
      <c r="H15" s="133">
        <v>1</v>
      </c>
      <c r="I15" s="134">
        <v>9.3655589123867067E-2</v>
      </c>
      <c r="J15" s="85">
        <v>8.429003021148036</v>
      </c>
      <c r="K15" s="135">
        <f t="shared" si="0"/>
        <v>60.003516129032256</v>
      </c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</row>
    <row r="16" spans="1:46" ht="30" customHeight="1" thickBot="1" x14ac:dyDescent="0.3">
      <c r="A16" s="155"/>
      <c r="B16" s="73" t="s">
        <v>34</v>
      </c>
      <c r="C16" s="74">
        <v>31000</v>
      </c>
      <c r="D16" s="102">
        <f>15+22</f>
        <v>37</v>
      </c>
      <c r="E16" s="80">
        <v>22500</v>
      </c>
      <c r="F16" s="75">
        <v>30.308446666666669</v>
      </c>
      <c r="G16" s="75">
        <v>67.308446666666669</v>
      </c>
      <c r="H16" s="76"/>
      <c r="I16" s="77"/>
      <c r="J16" s="78">
        <v>0</v>
      </c>
      <c r="K16" s="109">
        <f t="shared" si="0"/>
        <v>27.41935483870968</v>
      </c>
      <c r="N16" s="31"/>
    </row>
    <row r="17" spans="1:46" s="105" customFormat="1" ht="30" customHeight="1" thickTop="1" x14ac:dyDescent="0.25">
      <c r="A17" s="153" t="s">
        <v>31</v>
      </c>
      <c r="B17" s="128" t="s">
        <v>23</v>
      </c>
      <c r="C17" s="129">
        <v>31000</v>
      </c>
      <c r="D17" s="130">
        <f>15+20</f>
        <v>35</v>
      </c>
      <c r="E17" s="131">
        <v>12212.03</v>
      </c>
      <c r="F17" s="132">
        <v>55</v>
      </c>
      <c r="G17" s="132">
        <v>90</v>
      </c>
      <c r="H17" s="133">
        <v>1</v>
      </c>
      <c r="I17" s="134">
        <v>9.3655589123867067E-2</v>
      </c>
      <c r="J17" s="85">
        <v>8.429003021148036</v>
      </c>
      <c r="K17" s="135">
        <f t="shared" si="0"/>
        <v>60.606354838709677</v>
      </c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</row>
    <row r="18" spans="1:46" ht="30" customHeight="1" thickBot="1" x14ac:dyDescent="0.3">
      <c r="A18" s="155"/>
      <c r="B18" s="73" t="s">
        <v>34</v>
      </c>
      <c r="C18" s="74">
        <v>31000</v>
      </c>
      <c r="D18" s="102">
        <f>15+22</f>
        <v>37</v>
      </c>
      <c r="E18" s="80">
        <v>21500</v>
      </c>
      <c r="F18" s="75">
        <v>31.240076744186045</v>
      </c>
      <c r="G18" s="75">
        <v>68.240076744186041</v>
      </c>
      <c r="H18" s="76"/>
      <c r="I18" s="77"/>
      <c r="J18" s="78">
        <v>0</v>
      </c>
      <c r="K18" s="109">
        <f t="shared" si="0"/>
        <v>30.645161290322577</v>
      </c>
      <c r="M18" s="147"/>
      <c r="N18" s="31"/>
      <c r="O18" s="127"/>
    </row>
    <row r="19" spans="1:46" s="105" customFormat="1" ht="30" customHeight="1" thickTop="1" x14ac:dyDescent="0.25">
      <c r="A19" s="154" t="s">
        <v>32</v>
      </c>
      <c r="B19" s="71" t="s">
        <v>23</v>
      </c>
      <c r="C19" s="68">
        <v>100000</v>
      </c>
      <c r="D19" s="103">
        <f>15+20</f>
        <v>35</v>
      </c>
      <c r="E19" s="72">
        <v>84592.02</v>
      </c>
      <c r="F19" s="54">
        <v>54.445169296110905</v>
      </c>
      <c r="G19" s="54">
        <v>89.445169296110905</v>
      </c>
      <c r="H19" s="55"/>
      <c r="I19" s="56"/>
      <c r="J19" s="57">
        <v>0</v>
      </c>
      <c r="K19" s="110">
        <f t="shared" si="0"/>
        <v>15.407979999999995</v>
      </c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</row>
    <row r="20" spans="1:46" ht="30" customHeight="1" thickBot="1" x14ac:dyDescent="0.3">
      <c r="A20" s="154"/>
      <c r="B20" s="70" t="s">
        <v>34</v>
      </c>
      <c r="C20" s="68">
        <v>100000</v>
      </c>
      <c r="D20" s="103">
        <v>14</v>
      </c>
      <c r="E20" s="44">
        <v>98200</v>
      </c>
      <c r="F20" s="47">
        <v>46.900477087576377</v>
      </c>
      <c r="G20" s="47">
        <v>60.900477087576377</v>
      </c>
      <c r="H20" s="46"/>
      <c r="I20" s="48"/>
      <c r="J20" s="49">
        <v>0</v>
      </c>
      <c r="K20" s="52">
        <f t="shared" si="0"/>
        <v>1.7999999999999972</v>
      </c>
    </row>
    <row r="21" spans="1:46" s="108" customFormat="1" ht="30" customHeight="1" thickBot="1" x14ac:dyDescent="0.3">
      <c r="A21" s="154"/>
      <c r="B21" s="111" t="s">
        <v>35</v>
      </c>
      <c r="C21" s="112">
        <v>100000</v>
      </c>
      <c r="D21" s="113">
        <f>15+30</f>
        <v>45</v>
      </c>
      <c r="E21" s="114">
        <v>83738.67</v>
      </c>
      <c r="F21" s="115">
        <v>55</v>
      </c>
      <c r="G21" s="115">
        <v>100</v>
      </c>
      <c r="H21" s="116">
        <v>1</v>
      </c>
      <c r="I21" s="117">
        <v>0.30211480362537763</v>
      </c>
      <c r="J21" s="118">
        <v>30.211480362537763</v>
      </c>
      <c r="K21" s="119">
        <f t="shared" si="0"/>
        <v>16.261330000000001</v>
      </c>
      <c r="L21"/>
      <c r="M21"/>
      <c r="N21"/>
      <c r="O21"/>
      <c r="P21" s="31"/>
      <c r="Q21"/>
      <c r="R21" s="3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</row>
    <row r="22" spans="1:46" s="105" customFormat="1" ht="30" customHeight="1" thickTop="1" x14ac:dyDescent="0.25">
      <c r="A22" s="153" t="s">
        <v>33</v>
      </c>
      <c r="B22" s="138" t="s">
        <v>23</v>
      </c>
      <c r="C22" s="139">
        <v>100000</v>
      </c>
      <c r="D22" s="140">
        <f>15+20</f>
        <v>35</v>
      </c>
      <c r="E22" s="141">
        <v>94695.59</v>
      </c>
      <c r="F22" s="142">
        <v>42.565709765365</v>
      </c>
      <c r="G22" s="142">
        <v>77.565709765365</v>
      </c>
      <c r="H22" s="143"/>
      <c r="I22" s="144"/>
      <c r="J22" s="145">
        <v>0</v>
      </c>
      <c r="K22" s="146">
        <f t="shared" si="0"/>
        <v>5.3044100000000043</v>
      </c>
      <c r="L22"/>
      <c r="M22"/>
      <c r="N22"/>
      <c r="O22" s="31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</row>
    <row r="23" spans="1:46" s="105" customFormat="1" ht="30" customHeight="1" x14ac:dyDescent="0.25">
      <c r="A23" s="154" t="s">
        <v>33</v>
      </c>
      <c r="B23" s="70" t="s">
        <v>34</v>
      </c>
      <c r="C23" s="68">
        <v>100000</v>
      </c>
      <c r="D23" s="103">
        <f>14+0</f>
        <v>14</v>
      </c>
      <c r="E23" s="53">
        <v>99000</v>
      </c>
      <c r="F23" s="54">
        <v>40.715000000000003</v>
      </c>
      <c r="G23" s="54">
        <v>54.715000000000003</v>
      </c>
      <c r="H23" s="55"/>
      <c r="I23" s="56"/>
      <c r="J23" s="57">
        <v>0</v>
      </c>
      <c r="K23" s="110">
        <f t="shared" si="0"/>
        <v>1</v>
      </c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</row>
    <row r="24" spans="1:46" s="105" customFormat="1" ht="30" customHeight="1" x14ac:dyDescent="0.25">
      <c r="A24" s="154"/>
      <c r="B24" s="93" t="s">
        <v>35</v>
      </c>
      <c r="C24" s="94">
        <v>100000</v>
      </c>
      <c r="D24" s="104">
        <f>15+30</f>
        <v>45</v>
      </c>
      <c r="E24" s="53">
        <v>91927.14</v>
      </c>
      <c r="F24" s="54">
        <v>43.847605832184058</v>
      </c>
      <c r="G24" s="54">
        <v>88.847605832184058</v>
      </c>
      <c r="H24" s="55"/>
      <c r="I24" s="56"/>
      <c r="J24" s="57">
        <v>0</v>
      </c>
      <c r="K24" s="110">
        <f t="shared" si="0"/>
        <v>8.0728600000000057</v>
      </c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</row>
    <row r="25" spans="1:46" ht="30" customHeight="1" thickBot="1" x14ac:dyDescent="0.3">
      <c r="A25" s="155"/>
      <c r="B25" s="87" t="s">
        <v>36</v>
      </c>
      <c r="C25" s="88">
        <v>100000</v>
      </c>
      <c r="D25" s="101">
        <f>15+30</f>
        <v>45</v>
      </c>
      <c r="E25" s="106">
        <v>73287</v>
      </c>
      <c r="F25" s="89">
        <v>55</v>
      </c>
      <c r="G25" s="89">
        <v>100</v>
      </c>
      <c r="H25" s="90">
        <v>1</v>
      </c>
      <c r="I25" s="91">
        <v>0.30211480362537763</v>
      </c>
      <c r="J25" s="92">
        <v>30.211480362537763</v>
      </c>
      <c r="K25" s="107">
        <f t="shared" si="0"/>
        <v>26.712999999999994</v>
      </c>
      <c r="R25" s="31"/>
      <c r="T25" s="31"/>
    </row>
    <row r="26" spans="1:46" ht="40" thickTop="1" thickBot="1" x14ac:dyDescent="0.3">
      <c r="A26" s="33"/>
      <c r="B26" s="37" t="s">
        <v>12</v>
      </c>
      <c r="C26" s="39">
        <f>C9+C11+C13+C15+C17+C19+C22</f>
        <v>331000</v>
      </c>
      <c r="D26" s="27"/>
      <c r="E26" s="27"/>
      <c r="F26" s="27"/>
      <c r="G26" s="27"/>
      <c r="H26" s="27"/>
      <c r="I26" s="28" t="s">
        <v>18</v>
      </c>
      <c r="J26" s="137">
        <f>SUM(J9:J25)</f>
        <v>96.07892990936557</v>
      </c>
      <c r="K26" s="24"/>
      <c r="O26" s="31"/>
    </row>
    <row r="27" spans="1:46" ht="27.65" customHeight="1" x14ac:dyDescent="0.25">
      <c r="A27" s="26"/>
      <c r="B27" s="24"/>
      <c r="C27" s="38"/>
      <c r="D27" s="24"/>
      <c r="E27" s="24"/>
      <c r="F27" s="24"/>
      <c r="G27" s="24"/>
      <c r="H27" s="24"/>
      <c r="I27" s="24"/>
      <c r="J27" s="24"/>
      <c r="K27" s="24"/>
    </row>
    <row r="28" spans="1:46" x14ac:dyDescent="0.25">
      <c r="A28" s="24"/>
      <c r="B28" s="24"/>
      <c r="C28" s="24"/>
      <c r="D28" s="24"/>
      <c r="E28" s="148"/>
      <c r="F28" s="24"/>
      <c r="G28" s="24"/>
      <c r="H28" s="24"/>
      <c r="I28" s="24"/>
      <c r="J28" s="24"/>
      <c r="K28" s="24"/>
    </row>
    <row r="29" spans="1:46" ht="14" x14ac:dyDescent="0.3">
      <c r="A29" s="29" t="s">
        <v>2</v>
      </c>
      <c r="B29" s="24"/>
      <c r="C29" s="24"/>
      <c r="D29" s="24"/>
      <c r="E29" s="24"/>
      <c r="F29" s="24"/>
      <c r="G29" s="24"/>
      <c r="H29" s="24"/>
      <c r="I29" s="24"/>
      <c r="J29" s="24"/>
      <c r="K29" s="24"/>
    </row>
    <row r="30" spans="1:46" ht="36" customHeight="1" x14ac:dyDescent="0.3">
      <c r="A30" s="29" t="s">
        <v>39</v>
      </c>
    </row>
    <row r="31" spans="1:46" x14ac:dyDescent="0.25">
      <c r="A31" s="24"/>
    </row>
  </sheetData>
  <mergeCells count="11">
    <mergeCell ref="A2:J2"/>
    <mergeCell ref="A3:J3"/>
    <mergeCell ref="A4:J4"/>
    <mergeCell ref="E7:J7"/>
    <mergeCell ref="A22:A25"/>
    <mergeCell ref="A9:A10"/>
    <mergeCell ref="A11:A12"/>
    <mergeCell ref="A13:A14"/>
    <mergeCell ref="A15:A16"/>
    <mergeCell ref="A17:A18"/>
    <mergeCell ref="A19:A21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CC36"/>
  <sheetViews>
    <sheetView showGridLines="0" showZeros="0" topLeftCell="A13" zoomScale="70" zoomScaleNormal="70" workbookViewId="0">
      <pane xSplit="2" topLeftCell="D1" activePane="topRight" state="frozen"/>
      <selection pane="topRight" activeCell="D9" sqref="D9"/>
    </sheetView>
  </sheetViews>
  <sheetFormatPr baseColWidth="10" defaultColWidth="11.453125" defaultRowHeight="26.5" customHeight="1" x14ac:dyDescent="0.25"/>
  <cols>
    <col min="1" max="1" width="87.7265625" style="9" customWidth="1"/>
    <col min="2" max="2" width="32.453125" style="10" customWidth="1"/>
    <col min="3" max="3" width="25.1796875" style="10" customWidth="1"/>
    <col min="4" max="4" width="17" style="10" customWidth="1"/>
    <col min="5" max="5" width="20.54296875" style="10" customWidth="1"/>
    <col min="6" max="9" width="16.7265625" style="10" customWidth="1"/>
    <col min="10" max="10" width="19" style="10" customWidth="1"/>
    <col min="11" max="11" width="16.7265625" style="10" customWidth="1"/>
    <col min="12" max="12" width="20.81640625" style="10" customWidth="1"/>
    <col min="13" max="16" width="16.7265625" style="10" customWidth="1"/>
    <col min="17" max="17" width="19.1796875" style="10" customWidth="1"/>
    <col min="18" max="16384" width="11.453125" style="10"/>
  </cols>
  <sheetData>
    <row r="1" spans="1:81" ht="26.5" customHeight="1" x14ac:dyDescent="0.25">
      <c r="T1" s="12" t="s">
        <v>6</v>
      </c>
    </row>
    <row r="2" spans="1:81" s="3" customFormat="1" ht="26.5" customHeight="1" x14ac:dyDescent="0.2">
      <c r="A2" s="2"/>
      <c r="D2" s="4"/>
      <c r="E2" s="4"/>
      <c r="F2" s="4"/>
      <c r="G2" s="4"/>
      <c r="H2" s="5"/>
      <c r="M2" s="11"/>
      <c r="T2" s="13" t="s">
        <v>17</v>
      </c>
      <c r="U2" s="14">
        <v>55</v>
      </c>
    </row>
    <row r="3" spans="1:81" s="3" customFormat="1" ht="26.5" customHeight="1" x14ac:dyDescent="0.2">
      <c r="A3" s="161" t="s">
        <v>25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1"/>
      <c r="P3" s="161"/>
      <c r="Q3" s="161"/>
      <c r="T3" s="21" t="s">
        <v>8</v>
      </c>
    </row>
    <row r="4" spans="1:81" s="3" customFormat="1" ht="26.5" customHeight="1" x14ac:dyDescent="0.2">
      <c r="A4" s="161" t="s">
        <v>26</v>
      </c>
      <c r="B4" s="161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1"/>
      <c r="N4" s="161"/>
      <c r="O4" s="161"/>
      <c r="P4" s="161"/>
      <c r="Q4" s="161"/>
    </row>
    <row r="5" spans="1:81" s="3" customFormat="1" ht="26.5" customHeight="1" x14ac:dyDescent="0.2">
      <c r="A5" s="161" t="s">
        <v>3</v>
      </c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161"/>
      <c r="Q5" s="161"/>
    </row>
    <row r="6" spans="1:81" s="3" customFormat="1" ht="26.5" customHeight="1" thickBot="1" x14ac:dyDescent="0.25">
      <c r="A6" s="20"/>
      <c r="B6" s="20"/>
      <c r="C6" s="20"/>
      <c r="D6" s="20"/>
      <c r="E6" s="20"/>
      <c r="F6" s="20"/>
      <c r="G6" s="20"/>
      <c r="H6" s="4"/>
    </row>
    <row r="7" spans="1:81" s="3" customFormat="1" ht="26.5" customHeight="1" thickBot="1" x14ac:dyDescent="0.4">
      <c r="A7" s="2"/>
      <c r="B7" s="6"/>
      <c r="C7" s="7"/>
      <c r="D7" s="7"/>
      <c r="E7" s="162" t="s">
        <v>14</v>
      </c>
      <c r="F7" s="163"/>
      <c r="G7" s="163"/>
      <c r="H7" s="163"/>
      <c r="I7" s="163"/>
      <c r="J7" s="164"/>
      <c r="K7" s="158" t="s">
        <v>37</v>
      </c>
      <c r="L7" s="159"/>
      <c r="M7" s="159"/>
      <c r="N7" s="159"/>
      <c r="O7" s="159"/>
      <c r="P7" s="159"/>
      <c r="Q7" s="160"/>
    </row>
    <row r="8" spans="1:81" s="8" customFormat="1" ht="55.5" customHeight="1" thickBot="1" x14ac:dyDescent="0.35">
      <c r="A8" s="15" t="s">
        <v>4</v>
      </c>
      <c r="B8" s="16" t="s">
        <v>5</v>
      </c>
      <c r="C8" s="17" t="s">
        <v>20</v>
      </c>
      <c r="D8" s="18" t="s">
        <v>0</v>
      </c>
      <c r="E8" s="16" t="s">
        <v>21</v>
      </c>
      <c r="F8" s="17" t="s">
        <v>1</v>
      </c>
      <c r="G8" s="17" t="s">
        <v>7</v>
      </c>
      <c r="H8" s="17" t="s">
        <v>9</v>
      </c>
      <c r="I8" s="17" t="s">
        <v>10</v>
      </c>
      <c r="J8" s="18" t="s">
        <v>11</v>
      </c>
      <c r="K8" s="16" t="s">
        <v>15</v>
      </c>
      <c r="L8" s="16" t="s">
        <v>22</v>
      </c>
      <c r="M8" s="17" t="s">
        <v>1</v>
      </c>
      <c r="N8" s="17" t="s">
        <v>16</v>
      </c>
      <c r="O8" s="17" t="s">
        <v>9</v>
      </c>
      <c r="P8" s="41" t="s">
        <v>10</v>
      </c>
      <c r="Q8" s="42" t="s">
        <v>11</v>
      </c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</row>
    <row r="9" spans="1:81" s="40" customFormat="1" ht="25" customHeight="1" x14ac:dyDescent="0.2">
      <c r="A9" s="156" t="s">
        <v>27</v>
      </c>
      <c r="B9" s="65" t="s">
        <v>23</v>
      </c>
      <c r="C9" s="66">
        <v>19000</v>
      </c>
      <c r="D9" s="100">
        <f>15+20</f>
        <v>35</v>
      </c>
      <c r="E9" s="66">
        <v>6826.68</v>
      </c>
      <c r="F9" s="25">
        <f>$U$2*(MIN(E$9:E$10)/E9)</f>
        <v>55</v>
      </c>
      <c r="G9" s="25">
        <f t="shared" ref="G9:G25" si="0">D9+F9</f>
        <v>90</v>
      </c>
      <c r="H9" s="22"/>
      <c r="I9" s="50">
        <f t="shared" ref="I9:I25" si="1">+$C9/$C$26*H9</f>
        <v>0</v>
      </c>
      <c r="J9" s="51">
        <f t="shared" ref="J9:J25" si="2">+G9*I9</f>
        <v>0</v>
      </c>
      <c r="K9" s="36">
        <v>0.03</v>
      </c>
      <c r="L9" s="19">
        <f t="shared" ref="L9:L22" si="3">+$E9*(1-K9)</f>
        <v>6621.8796000000002</v>
      </c>
      <c r="M9" s="25">
        <f>$U$2*(MIN(L$9:L$10)/L9)</f>
        <v>55</v>
      </c>
      <c r="N9" s="25">
        <f t="shared" ref="N9:N26" si="4">$D9+M9</f>
        <v>90</v>
      </c>
      <c r="O9" s="45">
        <v>1</v>
      </c>
      <c r="P9" s="50">
        <f t="shared" ref="P9:P25" si="5">+$C9/$C$26*O9</f>
        <v>5.7401812688821753E-2</v>
      </c>
      <c r="Q9" s="69">
        <f t="shared" ref="Q9:Q25" si="6">+N9*P9</f>
        <v>5.166163141993958</v>
      </c>
      <c r="R9" s="32"/>
      <c r="S9" s="64"/>
      <c r="T9" s="32"/>
      <c r="U9" s="32"/>
      <c r="V9" s="32"/>
      <c r="W9" s="32"/>
      <c r="X9" s="32"/>
      <c r="Y9" s="32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</row>
    <row r="10" spans="1:81" s="83" customFormat="1" ht="25" customHeight="1" thickBot="1" x14ac:dyDescent="0.25">
      <c r="A10" s="165"/>
      <c r="B10" s="120" t="s">
        <v>34</v>
      </c>
      <c r="C10" s="121">
        <v>19000</v>
      </c>
      <c r="D10" s="122">
        <f>15+22</f>
        <v>37</v>
      </c>
      <c r="E10" s="121">
        <v>7000</v>
      </c>
      <c r="F10" s="75">
        <f>$U$2*(MIN(E$9:E$10)/E10)</f>
        <v>53.638199999999998</v>
      </c>
      <c r="G10" s="75">
        <f t="shared" si="0"/>
        <v>90.638199999999998</v>
      </c>
      <c r="H10" s="81">
        <v>1</v>
      </c>
      <c r="I10" s="123">
        <f t="shared" si="1"/>
        <v>5.7401812688821753E-2</v>
      </c>
      <c r="J10" s="125">
        <f t="shared" si="2"/>
        <v>5.2027969788519641</v>
      </c>
      <c r="K10" s="79"/>
      <c r="L10" s="80">
        <f t="shared" si="3"/>
        <v>7000</v>
      </c>
      <c r="M10" s="75">
        <f>$U$2*(MIN(L$9:L$10)/L10)</f>
        <v>52.029054000000002</v>
      </c>
      <c r="N10" s="75">
        <f>$D10+M10</f>
        <v>89.029054000000002</v>
      </c>
      <c r="O10" s="81"/>
      <c r="P10" s="77">
        <f t="shared" si="5"/>
        <v>0</v>
      </c>
      <c r="Q10" s="82">
        <f t="shared" si="6"/>
        <v>0</v>
      </c>
      <c r="R10" s="32"/>
      <c r="S10" s="32"/>
      <c r="T10" s="32"/>
      <c r="U10" s="32"/>
      <c r="V10" s="32"/>
      <c r="W10" s="32"/>
      <c r="X10" s="32"/>
      <c r="Y10" s="32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</row>
    <row r="11" spans="1:81" s="40" customFormat="1" ht="25" customHeight="1" x14ac:dyDescent="0.3">
      <c r="A11" s="156" t="s">
        <v>28</v>
      </c>
      <c r="B11" s="124" t="s">
        <v>23</v>
      </c>
      <c r="C11" s="94">
        <v>25000</v>
      </c>
      <c r="D11" s="104">
        <f>15+20</f>
        <v>35</v>
      </c>
      <c r="E11" s="94">
        <v>23846.86</v>
      </c>
      <c r="F11" s="54">
        <f>$U$2*(MIN(E$11:E$12)/E11)</f>
        <v>55</v>
      </c>
      <c r="G11" s="54">
        <f t="shared" si="0"/>
        <v>90</v>
      </c>
      <c r="H11" s="61">
        <v>1</v>
      </c>
      <c r="I11" s="96">
        <f t="shared" si="1"/>
        <v>7.5528700906344406E-2</v>
      </c>
      <c r="J11" s="97">
        <f t="shared" si="2"/>
        <v>6.7975830815709966</v>
      </c>
      <c r="K11" s="58">
        <v>0.03</v>
      </c>
      <c r="L11" s="72">
        <f t="shared" si="3"/>
        <v>23131.4542</v>
      </c>
      <c r="M11" s="54">
        <f>$U$2*(MIN(L$11:L$12)/L11)</f>
        <v>55</v>
      </c>
      <c r="N11" s="54">
        <f t="shared" si="4"/>
        <v>90</v>
      </c>
      <c r="O11" s="61">
        <v>1</v>
      </c>
      <c r="P11" s="56">
        <f t="shared" si="5"/>
        <v>7.5528700906344406E-2</v>
      </c>
      <c r="Q11" s="62">
        <f t="shared" si="6"/>
        <v>6.7975830815709966</v>
      </c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8"/>
      <c r="AF11" s="32"/>
      <c r="AG11" s="32"/>
      <c r="AH11" s="32"/>
      <c r="AI11" s="32"/>
      <c r="AJ11" s="32"/>
      <c r="AK11" s="8"/>
      <c r="AL11" s="32"/>
      <c r="AM11" s="32"/>
      <c r="AN11" s="32"/>
      <c r="AO11" s="32"/>
      <c r="AP11" s="32"/>
      <c r="AQ11" s="8"/>
      <c r="AR11" s="32"/>
      <c r="AS11" s="32"/>
      <c r="AT11" s="32"/>
      <c r="AU11" s="32"/>
      <c r="AV11" s="32"/>
      <c r="AW11" s="8"/>
      <c r="AX11" s="32"/>
      <c r="AY11" s="32"/>
      <c r="AZ11" s="32"/>
      <c r="BA11" s="32"/>
      <c r="BB11" s="32"/>
      <c r="BC11" s="8"/>
      <c r="BD11" s="32"/>
      <c r="BE11" s="32"/>
      <c r="BF11" s="32"/>
      <c r="BG11" s="32"/>
      <c r="BH11" s="32"/>
      <c r="BI11" s="8"/>
      <c r="BJ11" s="32"/>
      <c r="BK11" s="32"/>
      <c r="BL11" s="32"/>
      <c r="BM11" s="32"/>
      <c r="BN11" s="32"/>
      <c r="BO11" s="8"/>
      <c r="BP11" s="32"/>
      <c r="BQ11" s="32"/>
      <c r="BR11" s="32"/>
      <c r="BS11" s="32"/>
      <c r="BT11" s="32"/>
      <c r="BU11" s="8"/>
      <c r="BV11" s="32"/>
      <c r="BW11" s="32"/>
      <c r="BX11" s="32"/>
      <c r="BY11" s="32"/>
      <c r="BZ11" s="32"/>
      <c r="CA11" s="8"/>
      <c r="CB11" s="32"/>
      <c r="CC11" s="32"/>
    </row>
    <row r="12" spans="1:81" s="83" customFormat="1" ht="25" customHeight="1" thickBot="1" x14ac:dyDescent="0.25">
      <c r="A12" s="165"/>
      <c r="B12" s="73" t="s">
        <v>34</v>
      </c>
      <c r="C12" s="74">
        <v>25000</v>
      </c>
      <c r="D12" s="102">
        <f>15+22</f>
        <v>37</v>
      </c>
      <c r="E12" s="74">
        <v>24999</v>
      </c>
      <c r="F12" s="75">
        <f>$U$2*(MIN(E$11:E$12)/E12)</f>
        <v>52.465190607624308</v>
      </c>
      <c r="G12" s="75">
        <f t="shared" si="0"/>
        <v>89.465190607624308</v>
      </c>
      <c r="H12" s="76"/>
      <c r="I12" s="77">
        <f t="shared" si="1"/>
        <v>0</v>
      </c>
      <c r="J12" s="78">
        <f t="shared" si="2"/>
        <v>0</v>
      </c>
      <c r="K12" s="79"/>
      <c r="L12" s="80">
        <f t="shared" si="3"/>
        <v>24999</v>
      </c>
      <c r="M12" s="75">
        <f>$U$2*(MIN(L$11:L$12)/L12)</f>
        <v>50.891234889395577</v>
      </c>
      <c r="N12" s="75">
        <f t="shared" si="4"/>
        <v>87.891234889395577</v>
      </c>
      <c r="O12" s="81"/>
      <c r="P12" s="77">
        <f t="shared" si="5"/>
        <v>0</v>
      </c>
      <c r="Q12" s="82">
        <f t="shared" si="6"/>
        <v>0</v>
      </c>
      <c r="R12" s="32"/>
      <c r="S12" s="32"/>
      <c r="T12" s="32"/>
      <c r="U12" s="32"/>
      <c r="V12" s="32"/>
      <c r="W12" s="32"/>
      <c r="X12" s="32"/>
      <c r="Y12" s="32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</row>
    <row r="13" spans="1:81" s="40" customFormat="1" ht="25" customHeight="1" x14ac:dyDescent="0.2">
      <c r="A13" s="156" t="s">
        <v>29</v>
      </c>
      <c r="B13" s="124" t="s">
        <v>23</v>
      </c>
      <c r="C13" s="94">
        <v>25000</v>
      </c>
      <c r="D13" s="104">
        <f>15+20</f>
        <v>35</v>
      </c>
      <c r="E13" s="94">
        <v>21911.82</v>
      </c>
      <c r="F13" s="54">
        <f>$U$2*(MIN(E$13:E$14)/E13)</f>
        <v>55</v>
      </c>
      <c r="G13" s="54">
        <f t="shared" si="0"/>
        <v>90</v>
      </c>
      <c r="H13" s="61">
        <v>1</v>
      </c>
      <c r="I13" s="96">
        <f t="shared" si="1"/>
        <v>7.5528700906344406E-2</v>
      </c>
      <c r="J13" s="97">
        <f t="shared" si="2"/>
        <v>6.7975830815709966</v>
      </c>
      <c r="K13" s="98">
        <v>0.03</v>
      </c>
      <c r="L13" s="72">
        <f t="shared" si="3"/>
        <v>21254.465399999997</v>
      </c>
      <c r="M13" s="54">
        <f>$U$2*(MIN(L$13:L$14)/L13)</f>
        <v>55</v>
      </c>
      <c r="N13" s="54">
        <f t="shared" si="4"/>
        <v>90</v>
      </c>
      <c r="O13" s="61">
        <v>1</v>
      </c>
      <c r="P13" s="56">
        <f t="shared" si="5"/>
        <v>7.5528700906344406E-2</v>
      </c>
      <c r="Q13" s="62">
        <f t="shared" si="6"/>
        <v>6.7975830815709966</v>
      </c>
      <c r="R13" s="32"/>
      <c r="S13" s="32"/>
      <c r="T13" s="32"/>
      <c r="U13" s="32"/>
      <c r="V13" s="32"/>
      <c r="W13" s="32"/>
      <c r="X13" s="32"/>
      <c r="Y13" s="32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</row>
    <row r="14" spans="1:81" s="83" customFormat="1" ht="25" customHeight="1" thickBot="1" x14ac:dyDescent="0.35">
      <c r="A14" s="165"/>
      <c r="B14" s="73" t="s">
        <v>34</v>
      </c>
      <c r="C14" s="74">
        <v>25000</v>
      </c>
      <c r="D14" s="102">
        <f>15+22</f>
        <v>37</v>
      </c>
      <c r="E14" s="74">
        <v>24900</v>
      </c>
      <c r="F14" s="75">
        <f>$U$2*(MIN(E$13:E$14)/E14)</f>
        <v>48.399602409638554</v>
      </c>
      <c r="G14" s="75">
        <f t="shared" si="0"/>
        <v>85.399602409638561</v>
      </c>
      <c r="H14" s="76"/>
      <c r="I14" s="77">
        <f t="shared" si="1"/>
        <v>0</v>
      </c>
      <c r="J14" s="78">
        <f t="shared" si="2"/>
        <v>0</v>
      </c>
      <c r="K14" s="79"/>
      <c r="L14" s="80">
        <f t="shared" si="3"/>
        <v>24900</v>
      </c>
      <c r="M14" s="75">
        <f>$U$2*(MIN(L$13:L$14)/L14)</f>
        <v>46.947614337349393</v>
      </c>
      <c r="N14" s="75">
        <f t="shared" si="4"/>
        <v>83.947614337349393</v>
      </c>
      <c r="O14" s="81"/>
      <c r="P14" s="77">
        <f t="shared" si="5"/>
        <v>0</v>
      </c>
      <c r="Q14" s="82">
        <f t="shared" si="6"/>
        <v>0</v>
      </c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8"/>
      <c r="AF14" s="32"/>
      <c r="AG14" s="32"/>
      <c r="AH14" s="32"/>
      <c r="AI14" s="32"/>
      <c r="AJ14" s="32"/>
      <c r="AK14" s="8"/>
      <c r="AL14" s="32"/>
      <c r="AM14" s="32"/>
      <c r="AN14" s="32"/>
      <c r="AO14" s="32"/>
      <c r="AP14" s="32"/>
      <c r="AQ14" s="8"/>
      <c r="AR14" s="32"/>
      <c r="AS14" s="32"/>
      <c r="AT14" s="32"/>
      <c r="AU14" s="32"/>
      <c r="AV14" s="32"/>
      <c r="AW14" s="8"/>
      <c r="AX14" s="32"/>
      <c r="AY14" s="32"/>
      <c r="AZ14" s="32"/>
      <c r="BA14" s="32"/>
      <c r="BB14" s="32"/>
      <c r="BC14" s="8"/>
      <c r="BD14" s="32"/>
      <c r="BE14" s="32"/>
      <c r="BF14" s="32"/>
      <c r="BG14" s="32"/>
      <c r="BH14" s="32"/>
      <c r="BI14" s="8"/>
      <c r="BJ14" s="32"/>
      <c r="BK14" s="32"/>
      <c r="BL14" s="32"/>
      <c r="BM14" s="32"/>
      <c r="BN14" s="32"/>
      <c r="BO14" s="8"/>
      <c r="BP14" s="32"/>
      <c r="BQ14" s="32"/>
      <c r="BR14" s="32"/>
      <c r="BS14" s="32"/>
      <c r="BT14" s="32"/>
      <c r="BU14" s="8"/>
      <c r="BV14" s="32"/>
      <c r="BW14" s="32"/>
      <c r="BX14" s="32"/>
      <c r="BY14" s="32"/>
      <c r="BZ14" s="32"/>
      <c r="CA14" s="8"/>
      <c r="CB14" s="32"/>
      <c r="CC14" s="32"/>
    </row>
    <row r="15" spans="1:81" s="40" customFormat="1" ht="25" customHeight="1" x14ac:dyDescent="0.2">
      <c r="A15" s="156" t="s">
        <v>30</v>
      </c>
      <c r="B15" s="124" t="s">
        <v>23</v>
      </c>
      <c r="C15" s="94">
        <v>31000</v>
      </c>
      <c r="D15" s="104">
        <f>15+20</f>
        <v>35</v>
      </c>
      <c r="E15" s="94">
        <v>12398.91</v>
      </c>
      <c r="F15" s="54">
        <f>$U$2*(MIN(E$15:E$16)/E15)</f>
        <v>55</v>
      </c>
      <c r="G15" s="54">
        <f t="shared" ref="G15:G16" si="7">D15+F15</f>
        <v>90</v>
      </c>
      <c r="H15" s="61">
        <v>1</v>
      </c>
      <c r="I15" s="96">
        <f t="shared" si="1"/>
        <v>9.3655589123867067E-2</v>
      </c>
      <c r="J15" s="97">
        <f t="shared" ref="J15:J16" si="8">+G15*I15</f>
        <v>8.429003021148036</v>
      </c>
      <c r="K15" s="58">
        <v>0.03</v>
      </c>
      <c r="L15" s="72">
        <f t="shared" ref="L15:L16" si="9">+$E15*(1-K15)</f>
        <v>12026.9427</v>
      </c>
      <c r="M15" s="54">
        <f>$U$2*(MIN(L$15:L$16)/L15)</f>
        <v>55</v>
      </c>
      <c r="N15" s="54">
        <f t="shared" ref="N15:N16" si="10">$D15+M15</f>
        <v>90</v>
      </c>
      <c r="O15" s="61">
        <v>1</v>
      </c>
      <c r="P15" s="56">
        <f t="shared" si="5"/>
        <v>9.3655589123867067E-2</v>
      </c>
      <c r="Q15" s="62">
        <f t="shared" ref="Q15:Q16" si="11">+N15*P15</f>
        <v>8.429003021148036</v>
      </c>
      <c r="R15" s="32"/>
      <c r="S15" s="32"/>
      <c r="T15" s="32"/>
      <c r="U15" s="32">
        <f>N26-N27</f>
        <v>0</v>
      </c>
      <c r="V15" s="32"/>
      <c r="W15" s="32"/>
      <c r="X15" s="32"/>
      <c r="Y15" s="32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</row>
    <row r="16" spans="1:81" s="83" customFormat="1" ht="25" customHeight="1" thickBot="1" x14ac:dyDescent="0.25">
      <c r="A16" s="165"/>
      <c r="B16" s="73" t="s">
        <v>34</v>
      </c>
      <c r="C16" s="74">
        <v>31000</v>
      </c>
      <c r="D16" s="102">
        <f>15+22</f>
        <v>37</v>
      </c>
      <c r="E16" s="74">
        <v>22500</v>
      </c>
      <c r="F16" s="75">
        <f>$U$2*(MIN(E$15:E$16)/E16)</f>
        <v>30.308446666666669</v>
      </c>
      <c r="G16" s="75">
        <f t="shared" si="7"/>
        <v>67.308446666666669</v>
      </c>
      <c r="H16" s="76"/>
      <c r="I16" s="77">
        <f t="shared" si="1"/>
        <v>0</v>
      </c>
      <c r="J16" s="78">
        <f t="shared" si="8"/>
        <v>0</v>
      </c>
      <c r="K16" s="79"/>
      <c r="L16" s="80">
        <f t="shared" si="9"/>
        <v>22500</v>
      </c>
      <c r="M16" s="75">
        <f>$U$2*(MIN(L$15:L$16)/L16)</f>
        <v>29.399193266666664</v>
      </c>
      <c r="N16" s="75">
        <f t="shared" si="10"/>
        <v>66.399193266666657</v>
      </c>
      <c r="O16" s="81"/>
      <c r="P16" s="77">
        <f t="shared" si="5"/>
        <v>0</v>
      </c>
      <c r="Q16" s="82">
        <f t="shared" si="11"/>
        <v>0</v>
      </c>
      <c r="R16" s="32"/>
      <c r="S16" s="32"/>
      <c r="T16" s="32"/>
      <c r="U16" s="32"/>
      <c r="V16" s="32"/>
      <c r="W16" s="32"/>
      <c r="X16" s="32"/>
      <c r="Y16" s="32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</row>
    <row r="17" spans="1:81" s="40" customFormat="1" ht="25" customHeight="1" x14ac:dyDescent="0.3">
      <c r="A17" s="156" t="s">
        <v>31</v>
      </c>
      <c r="B17" s="124" t="s">
        <v>23</v>
      </c>
      <c r="C17" s="94">
        <v>31000</v>
      </c>
      <c r="D17" s="104">
        <f>15+20</f>
        <v>35</v>
      </c>
      <c r="E17" s="94">
        <v>12212.03</v>
      </c>
      <c r="F17" s="54">
        <f>$U$2*(MIN(E$17:E$18)/E17)</f>
        <v>55</v>
      </c>
      <c r="G17" s="54">
        <f t="shared" ref="G17:G21" si="12">D17+F17</f>
        <v>90</v>
      </c>
      <c r="H17" s="61">
        <v>1</v>
      </c>
      <c r="I17" s="96">
        <f t="shared" si="1"/>
        <v>9.3655589123867067E-2</v>
      </c>
      <c r="J17" s="97">
        <f t="shared" ref="J17:J21" si="13">+G17*I17</f>
        <v>8.429003021148036</v>
      </c>
      <c r="K17" s="58">
        <v>0.03</v>
      </c>
      <c r="L17" s="72">
        <f t="shared" ref="L17:L20" si="14">+$E17*(1-K17)</f>
        <v>11845.669100000001</v>
      </c>
      <c r="M17" s="54">
        <f>$U$2*(MIN(L$17:L$18)/L17)</f>
        <v>55</v>
      </c>
      <c r="N17" s="54">
        <f t="shared" ref="N17:N21" si="15">$D17+M17</f>
        <v>90</v>
      </c>
      <c r="O17" s="61">
        <v>1</v>
      </c>
      <c r="P17" s="56">
        <f t="shared" si="5"/>
        <v>9.3655589123867067E-2</v>
      </c>
      <c r="Q17" s="62">
        <f t="shared" ref="Q17:Q21" si="16">+N17*P17</f>
        <v>8.429003021148036</v>
      </c>
      <c r="R17" s="32"/>
      <c r="S17" s="32"/>
      <c r="T17" s="32"/>
      <c r="U17" s="32">
        <f>N26-N27</f>
        <v>0</v>
      </c>
      <c r="V17" s="32"/>
      <c r="W17" s="32"/>
      <c r="X17" s="32"/>
      <c r="Y17" s="32"/>
      <c r="Z17" s="32"/>
      <c r="AA17" s="32"/>
      <c r="AB17" s="32"/>
      <c r="AC17" s="32"/>
      <c r="AD17" s="32"/>
      <c r="AE17" s="8"/>
      <c r="AF17" s="32"/>
      <c r="AG17" s="32"/>
      <c r="AH17" s="32"/>
      <c r="AI17" s="32"/>
      <c r="AJ17" s="32"/>
      <c r="AK17" s="8"/>
      <c r="AL17" s="32"/>
      <c r="AM17" s="32"/>
      <c r="AN17" s="32"/>
      <c r="AO17" s="32"/>
      <c r="AP17" s="32"/>
      <c r="AQ17" s="8"/>
      <c r="AR17" s="32"/>
      <c r="AS17" s="32"/>
      <c r="AT17" s="32"/>
      <c r="AU17" s="32"/>
      <c r="AV17" s="32"/>
      <c r="AW17" s="8"/>
      <c r="AX17" s="32"/>
      <c r="AY17" s="32"/>
      <c r="AZ17" s="32"/>
      <c r="BA17" s="32"/>
      <c r="BB17" s="32"/>
      <c r="BC17" s="8"/>
      <c r="BD17" s="32"/>
      <c r="BE17" s="32"/>
      <c r="BF17" s="32"/>
      <c r="BG17" s="32"/>
      <c r="BH17" s="32"/>
      <c r="BI17" s="8"/>
      <c r="BJ17" s="32"/>
      <c r="BK17" s="32"/>
      <c r="BL17" s="32"/>
      <c r="BM17" s="32"/>
      <c r="BN17" s="32"/>
      <c r="BO17" s="8"/>
      <c r="BP17" s="32"/>
      <c r="BQ17" s="32"/>
      <c r="BR17" s="32"/>
      <c r="BS17" s="32"/>
      <c r="BT17" s="32"/>
      <c r="BU17" s="8"/>
      <c r="BV17" s="32"/>
      <c r="BW17" s="32"/>
      <c r="BX17" s="32"/>
      <c r="BY17" s="32"/>
      <c r="BZ17" s="32"/>
      <c r="CA17" s="8"/>
      <c r="CB17" s="32"/>
      <c r="CC17" s="32"/>
    </row>
    <row r="18" spans="1:81" s="83" customFormat="1" ht="25" customHeight="1" thickBot="1" x14ac:dyDescent="0.25">
      <c r="A18" s="165"/>
      <c r="B18" s="73" t="s">
        <v>34</v>
      </c>
      <c r="C18" s="74">
        <v>31000</v>
      </c>
      <c r="D18" s="102">
        <f>15+22</f>
        <v>37</v>
      </c>
      <c r="E18" s="74">
        <v>21500</v>
      </c>
      <c r="F18" s="75">
        <f>$U$2*(MIN(E$17:E$18)/E18)</f>
        <v>31.240076744186045</v>
      </c>
      <c r="G18" s="75">
        <f t="shared" si="12"/>
        <v>68.240076744186041</v>
      </c>
      <c r="H18" s="76"/>
      <c r="I18" s="77">
        <f t="shared" si="1"/>
        <v>0</v>
      </c>
      <c r="J18" s="78">
        <f t="shared" si="13"/>
        <v>0</v>
      </c>
      <c r="K18" s="79"/>
      <c r="L18" s="80">
        <f t="shared" si="14"/>
        <v>21500</v>
      </c>
      <c r="M18" s="75">
        <f>$U$2*(MIN(L$17:L$18)/L18)</f>
        <v>30.302874441860467</v>
      </c>
      <c r="N18" s="75">
        <f t="shared" si="15"/>
        <v>67.302874441860467</v>
      </c>
      <c r="O18" s="81"/>
      <c r="P18" s="77">
        <f t="shared" si="5"/>
        <v>0</v>
      </c>
      <c r="Q18" s="82">
        <f t="shared" si="16"/>
        <v>0</v>
      </c>
      <c r="R18" s="32"/>
      <c r="S18" s="32"/>
      <c r="T18" s="32"/>
      <c r="U18" s="32"/>
      <c r="V18" s="32"/>
      <c r="W18" s="32"/>
      <c r="X18" s="32"/>
      <c r="Y18" s="32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</row>
    <row r="19" spans="1:81" s="40" customFormat="1" ht="25" customHeight="1" x14ac:dyDescent="0.2">
      <c r="A19" s="156" t="s">
        <v>32</v>
      </c>
      <c r="B19" s="71" t="s">
        <v>23</v>
      </c>
      <c r="C19" s="68">
        <v>100000</v>
      </c>
      <c r="D19" s="103">
        <f>15+20</f>
        <v>35</v>
      </c>
      <c r="E19" s="68">
        <v>84592.02</v>
      </c>
      <c r="F19" s="54">
        <f>$U$2*(MIN(E$19:E$21)/E19)</f>
        <v>54.445169296110905</v>
      </c>
      <c r="G19" s="54">
        <f t="shared" si="12"/>
        <v>89.445169296110905</v>
      </c>
      <c r="H19" s="55"/>
      <c r="I19" s="56">
        <f t="shared" si="1"/>
        <v>0</v>
      </c>
      <c r="J19" s="57">
        <f t="shared" si="13"/>
        <v>0</v>
      </c>
      <c r="K19" s="58">
        <v>0.01</v>
      </c>
      <c r="L19" s="72">
        <f t="shared" si="14"/>
        <v>83746.099799999996</v>
      </c>
      <c r="M19" s="54">
        <f>$U$2*(MIN(L$19:L$21)/L19)</f>
        <v>54.99512050112213</v>
      </c>
      <c r="N19" s="54">
        <f t="shared" si="15"/>
        <v>89.99512050112213</v>
      </c>
      <c r="O19" s="61">
        <v>1</v>
      </c>
      <c r="P19" s="56">
        <f t="shared" si="5"/>
        <v>0.30211480362537763</v>
      </c>
      <c r="Q19" s="62">
        <f t="shared" si="16"/>
        <v>27.188858157438709</v>
      </c>
      <c r="R19" s="32"/>
      <c r="S19" s="32"/>
      <c r="T19" s="32"/>
      <c r="U19" s="32"/>
      <c r="V19" s="32"/>
      <c r="W19" s="32"/>
      <c r="X19" s="32"/>
      <c r="Y19" s="32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</row>
    <row r="20" spans="1:81" s="40" customFormat="1" ht="25" customHeight="1" x14ac:dyDescent="0.3">
      <c r="A20" s="154"/>
      <c r="B20" s="70" t="s">
        <v>34</v>
      </c>
      <c r="C20" s="68">
        <v>100000</v>
      </c>
      <c r="D20" s="103">
        <v>14</v>
      </c>
      <c r="E20" s="68">
        <v>98200</v>
      </c>
      <c r="F20" s="54">
        <f>$U$2*(MIN(E$19:E$21)/E20)</f>
        <v>46.900477087576377</v>
      </c>
      <c r="G20" s="54">
        <f t="shared" si="12"/>
        <v>60.900477087576377</v>
      </c>
      <c r="H20" s="55"/>
      <c r="I20" s="56">
        <f t="shared" si="1"/>
        <v>0</v>
      </c>
      <c r="J20" s="57">
        <f t="shared" si="13"/>
        <v>0</v>
      </c>
      <c r="K20" s="58"/>
      <c r="L20" s="59">
        <f t="shared" si="14"/>
        <v>98200</v>
      </c>
      <c r="M20" s="54">
        <f>$U$2*(MIN(L$19:L$21)/L20)</f>
        <v>46.900477087576377</v>
      </c>
      <c r="N20" s="60">
        <f t="shared" si="15"/>
        <v>60.900477087576377</v>
      </c>
      <c r="O20" s="61"/>
      <c r="P20" s="56">
        <f t="shared" si="5"/>
        <v>0</v>
      </c>
      <c r="Q20" s="62">
        <f t="shared" si="16"/>
        <v>0</v>
      </c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8"/>
      <c r="AF20" s="32"/>
      <c r="AG20" s="32"/>
      <c r="AH20" s="32"/>
      <c r="AI20" s="32"/>
      <c r="AJ20" s="32"/>
      <c r="AK20" s="8"/>
      <c r="AL20" s="32"/>
      <c r="AM20" s="32"/>
      <c r="AN20" s="32"/>
      <c r="AO20" s="32"/>
      <c r="AP20" s="32"/>
      <c r="AQ20" s="8"/>
      <c r="AR20" s="32"/>
      <c r="AS20" s="32"/>
      <c r="AT20" s="32"/>
      <c r="AU20" s="32"/>
      <c r="AV20" s="32"/>
      <c r="AW20" s="8"/>
      <c r="AX20" s="32"/>
      <c r="AY20" s="32"/>
      <c r="AZ20" s="32"/>
      <c r="BA20" s="32"/>
      <c r="BB20" s="32"/>
      <c r="BC20" s="8"/>
      <c r="BD20" s="32"/>
      <c r="BE20" s="32"/>
      <c r="BF20" s="32"/>
      <c r="BG20" s="32"/>
      <c r="BH20" s="32"/>
      <c r="BI20" s="8"/>
      <c r="BJ20" s="32"/>
      <c r="BK20" s="32"/>
      <c r="BL20" s="32"/>
      <c r="BM20" s="32"/>
      <c r="BN20" s="32"/>
      <c r="BO20" s="8"/>
      <c r="BP20" s="32"/>
      <c r="BQ20" s="32"/>
      <c r="BR20" s="32"/>
      <c r="BS20" s="32"/>
      <c r="BT20" s="32"/>
      <c r="BU20" s="8"/>
      <c r="BV20" s="32"/>
      <c r="BW20" s="32"/>
      <c r="BX20" s="32"/>
      <c r="BY20" s="32"/>
      <c r="BZ20" s="32"/>
      <c r="CA20" s="8"/>
      <c r="CB20" s="32"/>
      <c r="CC20" s="32"/>
    </row>
    <row r="21" spans="1:81" s="83" customFormat="1" ht="33.65" customHeight="1" thickBot="1" x14ac:dyDescent="0.25">
      <c r="A21" s="165"/>
      <c r="B21" s="120" t="s">
        <v>35</v>
      </c>
      <c r="C21" s="121">
        <v>100000</v>
      </c>
      <c r="D21" s="122">
        <f>15+30</f>
        <v>45</v>
      </c>
      <c r="E21" s="121">
        <v>83738.67</v>
      </c>
      <c r="F21" s="75">
        <f>$U$2*(MIN(E$19:E$21)/E21)</f>
        <v>55</v>
      </c>
      <c r="G21" s="75">
        <f t="shared" si="12"/>
        <v>100</v>
      </c>
      <c r="H21" s="81">
        <v>1</v>
      </c>
      <c r="I21" s="123">
        <f t="shared" si="1"/>
        <v>0.30211480362537763</v>
      </c>
      <c r="J21" s="125">
        <f t="shared" si="13"/>
        <v>30.211480362537763</v>
      </c>
      <c r="K21" s="79"/>
      <c r="L21" s="84">
        <f>+$E21*(1-K21)</f>
        <v>83738.67</v>
      </c>
      <c r="M21" s="75">
        <f>$U$2*(MIN(L$19:L$21)/L21)</f>
        <v>55</v>
      </c>
      <c r="N21" s="80">
        <f t="shared" si="15"/>
        <v>100</v>
      </c>
      <c r="O21" s="76"/>
      <c r="P21" s="77">
        <f t="shared" si="5"/>
        <v>0</v>
      </c>
      <c r="Q21" s="82">
        <f t="shared" si="16"/>
        <v>0</v>
      </c>
      <c r="R21" s="32"/>
      <c r="S21" s="32"/>
      <c r="T21" s="32"/>
      <c r="U21" s="32"/>
      <c r="V21" s="32"/>
      <c r="W21" s="32"/>
      <c r="X21" s="32"/>
      <c r="Y21" s="32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</row>
    <row r="22" spans="1:81" s="40" customFormat="1" ht="25" customHeight="1" x14ac:dyDescent="0.2">
      <c r="A22" s="156" t="s">
        <v>33</v>
      </c>
      <c r="B22" s="71" t="s">
        <v>23</v>
      </c>
      <c r="C22" s="68">
        <v>100000</v>
      </c>
      <c r="D22" s="103">
        <f>15+20</f>
        <v>35</v>
      </c>
      <c r="E22" s="68">
        <v>94695.59</v>
      </c>
      <c r="F22" s="54">
        <f>$U$2*(MIN(E$22:E$25)/E22)</f>
        <v>42.565709765365</v>
      </c>
      <c r="G22" s="54">
        <f t="shared" si="0"/>
        <v>77.565709765365</v>
      </c>
      <c r="H22" s="55"/>
      <c r="I22" s="56">
        <f t="shared" si="1"/>
        <v>0</v>
      </c>
      <c r="J22" s="57">
        <f t="shared" si="2"/>
        <v>0</v>
      </c>
      <c r="K22" s="58">
        <v>0.01</v>
      </c>
      <c r="L22" s="72">
        <f t="shared" si="3"/>
        <v>93748.634099999996</v>
      </c>
      <c r="M22" s="54">
        <f>$U$2*(MIN(L$22:L$25)/L22)</f>
        <v>42.995666429661611</v>
      </c>
      <c r="N22" s="54">
        <f t="shared" si="4"/>
        <v>77.995666429661611</v>
      </c>
      <c r="O22" s="61">
        <v>1</v>
      </c>
      <c r="P22" s="56">
        <f t="shared" si="5"/>
        <v>0.30211480362537763</v>
      </c>
      <c r="Q22" s="62">
        <f t="shared" si="6"/>
        <v>23.563645447027675</v>
      </c>
      <c r="R22" s="32"/>
      <c r="S22" s="32"/>
      <c r="T22" s="32"/>
      <c r="U22" s="32"/>
      <c r="V22" s="32"/>
      <c r="W22" s="32"/>
      <c r="X22" s="32"/>
      <c r="Y22" s="32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</row>
    <row r="23" spans="1:81" s="40" customFormat="1" ht="25" customHeight="1" x14ac:dyDescent="0.3">
      <c r="A23" s="154" t="s">
        <v>33</v>
      </c>
      <c r="B23" s="70" t="s">
        <v>34</v>
      </c>
      <c r="C23" s="68">
        <v>100000</v>
      </c>
      <c r="D23" s="103">
        <f>14+0</f>
        <v>14</v>
      </c>
      <c r="E23" s="68">
        <v>99000</v>
      </c>
      <c r="F23" s="54">
        <f>$U$2*(MIN(E$22:E$25)/E23)</f>
        <v>40.715000000000003</v>
      </c>
      <c r="G23" s="54">
        <f t="shared" ref="G23" si="17">D23+F23</f>
        <v>54.715000000000003</v>
      </c>
      <c r="H23" s="55"/>
      <c r="I23" s="56">
        <f t="shared" si="1"/>
        <v>0</v>
      </c>
      <c r="J23" s="57">
        <f t="shared" ref="J23" si="18">+G23*I23</f>
        <v>0</v>
      </c>
      <c r="K23" s="58"/>
      <c r="L23" s="59">
        <f t="shared" ref="L23" si="19">+$E23*(1-K23)</f>
        <v>99000</v>
      </c>
      <c r="M23" s="54">
        <f>$U$2*(MIN(L$22:L$25)/L23)</f>
        <v>40.715000000000003</v>
      </c>
      <c r="N23" s="60">
        <f t="shared" ref="N23" si="20">$D23+M23</f>
        <v>54.715000000000003</v>
      </c>
      <c r="O23" s="61"/>
      <c r="P23" s="56">
        <f t="shared" si="5"/>
        <v>0</v>
      </c>
      <c r="Q23" s="62">
        <f t="shared" ref="Q23" si="21">+N23*P23</f>
        <v>0</v>
      </c>
      <c r="S23" s="63"/>
      <c r="T23" s="64"/>
      <c r="U23" s="64"/>
      <c r="V23" s="64"/>
      <c r="W23" s="64"/>
      <c r="Z23" s="32"/>
      <c r="AA23" s="32"/>
      <c r="AB23" s="32"/>
      <c r="AC23" s="32"/>
      <c r="AD23" s="32"/>
      <c r="AE23" s="8"/>
      <c r="AF23" s="32"/>
      <c r="AG23" s="32"/>
      <c r="AH23" s="32"/>
      <c r="AI23" s="32"/>
      <c r="AJ23" s="32"/>
      <c r="AK23" s="8"/>
      <c r="AL23" s="32"/>
      <c r="AM23" s="32"/>
      <c r="AN23" s="32"/>
      <c r="AO23" s="32"/>
      <c r="AP23" s="32"/>
      <c r="AQ23" s="8"/>
      <c r="AR23" s="32"/>
      <c r="AS23" s="32"/>
      <c r="AT23" s="32"/>
      <c r="AU23" s="32"/>
      <c r="AV23" s="32"/>
      <c r="AW23" s="8"/>
      <c r="AX23" s="32"/>
      <c r="AY23" s="32"/>
      <c r="AZ23" s="32"/>
      <c r="BA23" s="32"/>
      <c r="BB23" s="32"/>
      <c r="BC23" s="8"/>
      <c r="BD23" s="32"/>
      <c r="BE23" s="32"/>
      <c r="BF23" s="32"/>
      <c r="BG23" s="32"/>
      <c r="BH23" s="32"/>
      <c r="BI23" s="8"/>
      <c r="BJ23" s="32"/>
      <c r="BK23" s="32"/>
      <c r="BL23" s="32"/>
      <c r="BM23" s="32"/>
      <c r="BN23" s="32"/>
      <c r="BO23" s="8"/>
      <c r="BP23" s="32"/>
      <c r="BQ23" s="32"/>
      <c r="BR23" s="32"/>
      <c r="BS23" s="32"/>
      <c r="BT23" s="32"/>
      <c r="BU23" s="8"/>
      <c r="BV23" s="32"/>
      <c r="BW23" s="32"/>
      <c r="BX23" s="32"/>
      <c r="BY23" s="32"/>
      <c r="BZ23" s="32"/>
      <c r="CA23" s="8"/>
      <c r="CB23" s="32"/>
      <c r="CC23" s="32"/>
    </row>
    <row r="24" spans="1:81" s="40" customFormat="1" ht="34.5" customHeight="1" x14ac:dyDescent="0.2">
      <c r="A24" s="154"/>
      <c r="B24" s="93" t="s">
        <v>35</v>
      </c>
      <c r="C24" s="94">
        <v>100000</v>
      </c>
      <c r="D24" s="104">
        <f>15+30</f>
        <v>45</v>
      </c>
      <c r="E24" s="95">
        <v>91927.14</v>
      </c>
      <c r="F24" s="54">
        <f>$U$2*(MIN(E$22:E$25)/E24)</f>
        <v>43.847605832184058</v>
      </c>
      <c r="G24" s="54">
        <f t="shared" ref="G24" si="22">D24+F24</f>
        <v>88.847605832184058</v>
      </c>
      <c r="H24" s="61"/>
      <c r="I24" s="96">
        <f t="shared" si="1"/>
        <v>0</v>
      </c>
      <c r="J24" s="97">
        <f t="shared" ref="J24" si="23">+G24*I24</f>
        <v>0</v>
      </c>
      <c r="K24" s="98"/>
      <c r="L24" s="59">
        <f t="shared" ref="L24" si="24">+$E24*(1-K24)</f>
        <v>91927.14</v>
      </c>
      <c r="M24" s="54">
        <f>$U$2*(MIN(L$22:L$25)/L24)</f>
        <v>43.847605832184058</v>
      </c>
      <c r="N24" s="60">
        <f t="shared" ref="N24" si="25">$D24+M24</f>
        <v>88.847605832184058</v>
      </c>
      <c r="O24" s="61"/>
      <c r="P24" s="56">
        <f t="shared" si="5"/>
        <v>0</v>
      </c>
      <c r="Q24" s="62">
        <f t="shared" ref="Q24" si="26">+N24*P24</f>
        <v>0</v>
      </c>
      <c r="R24" s="32"/>
      <c r="S24" s="32"/>
      <c r="T24" s="32"/>
      <c r="U24" s="32"/>
      <c r="V24" s="32"/>
      <c r="W24" s="32"/>
      <c r="X24" s="32"/>
      <c r="Y24" s="32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</row>
    <row r="25" spans="1:81" s="83" customFormat="1" ht="36.65" customHeight="1" thickBot="1" x14ac:dyDescent="0.25">
      <c r="A25" s="165"/>
      <c r="B25" s="120" t="s">
        <v>36</v>
      </c>
      <c r="C25" s="121">
        <v>100000</v>
      </c>
      <c r="D25" s="122">
        <f>15+30</f>
        <v>45</v>
      </c>
      <c r="E25" s="126">
        <v>73287</v>
      </c>
      <c r="F25" s="75">
        <f>$U$2*(MIN(E$22:E$25)/E25)</f>
        <v>55</v>
      </c>
      <c r="G25" s="75">
        <f t="shared" si="0"/>
        <v>100</v>
      </c>
      <c r="H25" s="81">
        <v>1</v>
      </c>
      <c r="I25" s="123">
        <f t="shared" si="1"/>
        <v>0.30211480362537763</v>
      </c>
      <c r="J25" s="125">
        <f t="shared" si="2"/>
        <v>30.211480362537763</v>
      </c>
      <c r="K25" s="99"/>
      <c r="L25" s="84">
        <f>+$E25*(1-K25)</f>
        <v>73287</v>
      </c>
      <c r="M25" s="75">
        <f>$U$2*(MIN(L$22:L$25)/L25)</f>
        <v>55</v>
      </c>
      <c r="N25" s="80">
        <f t="shared" si="4"/>
        <v>100</v>
      </c>
      <c r="O25" s="76"/>
      <c r="P25" s="77">
        <f t="shared" si="5"/>
        <v>0</v>
      </c>
      <c r="Q25" s="82">
        <f t="shared" si="6"/>
        <v>0</v>
      </c>
      <c r="R25" s="32"/>
      <c r="S25" s="32"/>
      <c r="T25" s="32"/>
      <c r="U25" s="32"/>
      <c r="V25" s="32"/>
      <c r="W25" s="32"/>
      <c r="X25" s="32"/>
      <c r="Y25" s="32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</row>
    <row r="26" spans="1:81" ht="33.65" customHeight="1" thickTop="1" thickBot="1" x14ac:dyDescent="0.35">
      <c r="B26" s="30" t="s">
        <v>12</v>
      </c>
      <c r="C26" s="39">
        <f>C9+C11+C13+C15+C17+C19+C22</f>
        <v>331000</v>
      </c>
      <c r="I26" s="23" t="s">
        <v>13</v>
      </c>
      <c r="J26" s="85">
        <f>SUM(J9:J25)</f>
        <v>96.07892990936557</v>
      </c>
      <c r="N26" s="10">
        <f t="shared" si="4"/>
        <v>0</v>
      </c>
      <c r="P26" s="23" t="s">
        <v>13</v>
      </c>
      <c r="Q26" s="86">
        <f>SUM(Q9:Q25)</f>
        <v>86.371838951898411</v>
      </c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8"/>
      <c r="AF26" s="32"/>
      <c r="AG26" s="32"/>
      <c r="AH26" s="32"/>
      <c r="AI26" s="32"/>
      <c r="AJ26" s="32"/>
      <c r="AK26" s="8"/>
      <c r="AL26" s="32"/>
      <c r="AM26" s="32"/>
      <c r="AN26" s="32"/>
      <c r="AO26" s="32"/>
      <c r="AP26" s="32"/>
      <c r="AQ26" s="8"/>
      <c r="AR26" s="32"/>
      <c r="AS26" s="32"/>
      <c r="AT26" s="32"/>
      <c r="AU26" s="32"/>
      <c r="AV26" s="32"/>
      <c r="AW26" s="8"/>
      <c r="AX26" s="32"/>
      <c r="AY26" s="32"/>
      <c r="AZ26" s="32"/>
      <c r="BA26" s="32"/>
      <c r="BB26" s="32"/>
      <c r="BC26" s="8"/>
      <c r="BD26" s="32"/>
      <c r="BE26" s="32"/>
      <c r="BF26" s="32"/>
      <c r="BG26" s="32"/>
      <c r="BH26" s="32"/>
      <c r="BI26" s="8"/>
      <c r="BJ26" s="32"/>
      <c r="BK26" s="32"/>
      <c r="BL26" s="32"/>
      <c r="BM26" s="32"/>
      <c r="BN26" s="32"/>
      <c r="BO26" s="8"/>
      <c r="BP26" s="32"/>
      <c r="BQ26" s="32"/>
      <c r="BR26" s="32"/>
      <c r="BS26" s="32"/>
      <c r="BT26" s="32"/>
      <c r="BU26" s="8"/>
      <c r="BV26" s="32"/>
      <c r="BW26" s="32"/>
      <c r="BX26" s="32"/>
      <c r="BY26" s="32"/>
      <c r="BZ26" s="32"/>
      <c r="CA26" s="8"/>
      <c r="CB26" s="32"/>
      <c r="CC26" s="32"/>
    </row>
    <row r="27" spans="1:81" ht="26.5" customHeight="1" x14ac:dyDescent="0.25">
      <c r="C27" s="67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</row>
    <row r="28" spans="1:81" ht="26.5" customHeight="1" x14ac:dyDescent="0.3">
      <c r="A28" s="1" t="s">
        <v>2</v>
      </c>
      <c r="F28" s="35"/>
      <c r="G28" s="35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</row>
    <row r="29" spans="1:81" ht="26.5" customHeight="1" x14ac:dyDescent="0.3">
      <c r="A29" s="29" t="s">
        <v>38</v>
      </c>
      <c r="Z29" s="32"/>
      <c r="AA29" s="32"/>
      <c r="AB29" s="32"/>
      <c r="AC29" s="32"/>
      <c r="AD29" s="32"/>
      <c r="AE29" s="8"/>
      <c r="AF29" s="32"/>
      <c r="AG29" s="32"/>
      <c r="AH29" s="32"/>
      <c r="AI29" s="32"/>
      <c r="AJ29" s="32"/>
      <c r="AK29" s="8"/>
      <c r="AL29" s="32"/>
      <c r="AM29" s="32"/>
      <c r="AN29" s="32"/>
      <c r="AO29" s="32"/>
      <c r="AP29" s="32"/>
      <c r="AQ29" s="8"/>
      <c r="AR29" s="32"/>
      <c r="AS29" s="32"/>
      <c r="AT29" s="32"/>
      <c r="AU29" s="32"/>
      <c r="AV29" s="32"/>
      <c r="AW29" s="8"/>
      <c r="AX29" s="32"/>
      <c r="AY29" s="32"/>
      <c r="AZ29" s="32"/>
      <c r="BA29" s="32"/>
      <c r="BB29" s="32"/>
      <c r="BC29" s="8"/>
      <c r="BD29" s="32"/>
      <c r="BE29" s="32"/>
      <c r="BF29" s="32"/>
      <c r="BG29" s="32"/>
      <c r="BH29" s="32"/>
      <c r="BI29" s="8"/>
      <c r="BJ29" s="32"/>
      <c r="BK29" s="32"/>
      <c r="BL29" s="32"/>
      <c r="BM29" s="32"/>
      <c r="BN29" s="32"/>
      <c r="BO29" s="8"/>
      <c r="BP29" s="32"/>
      <c r="BQ29" s="32"/>
      <c r="BR29" s="32"/>
      <c r="BS29" s="32"/>
      <c r="BT29" s="32"/>
      <c r="BU29" s="8"/>
      <c r="BV29" s="32"/>
      <c r="BW29" s="32"/>
      <c r="BX29" s="32"/>
      <c r="BY29" s="32"/>
      <c r="BZ29" s="32"/>
      <c r="CA29" s="8"/>
      <c r="CB29" s="32"/>
      <c r="CC29" s="32"/>
    </row>
    <row r="30" spans="1:81" ht="26.5" customHeight="1" x14ac:dyDescent="0.25"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</row>
    <row r="31" spans="1:81" ht="26.5" customHeight="1" x14ac:dyDescent="0.25">
      <c r="A31" s="157"/>
      <c r="B31" s="157"/>
      <c r="C31" s="157"/>
      <c r="D31" s="157"/>
      <c r="E31" s="157"/>
      <c r="F31" s="157"/>
      <c r="G31" s="157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</row>
    <row r="32" spans="1:81" ht="26.5" customHeight="1" x14ac:dyDescent="0.3">
      <c r="I32" s="34"/>
      <c r="J32" s="34"/>
      <c r="Z32" s="32"/>
      <c r="AA32" s="32"/>
      <c r="AB32" s="32"/>
      <c r="AC32" s="32"/>
      <c r="AD32" s="32"/>
      <c r="AE32" s="8"/>
      <c r="AF32" s="32"/>
      <c r="AG32" s="32"/>
      <c r="AH32" s="32"/>
      <c r="AI32" s="32"/>
      <c r="AJ32" s="32"/>
      <c r="AK32" s="8"/>
      <c r="AL32" s="32"/>
      <c r="AM32" s="32"/>
      <c r="AN32" s="32"/>
      <c r="AO32" s="32"/>
      <c r="AP32" s="32"/>
      <c r="AQ32" s="8"/>
      <c r="AR32" s="32"/>
      <c r="AS32" s="32"/>
      <c r="AT32" s="32"/>
      <c r="AU32" s="32"/>
      <c r="AV32" s="32"/>
      <c r="AW32" s="8"/>
      <c r="AX32" s="32"/>
      <c r="AY32" s="32"/>
      <c r="AZ32" s="32"/>
      <c r="BA32" s="32"/>
      <c r="BB32" s="32"/>
      <c r="BC32" s="8"/>
      <c r="BD32" s="32"/>
      <c r="BE32" s="32"/>
      <c r="BF32" s="32"/>
      <c r="BG32" s="32"/>
      <c r="BH32" s="32"/>
      <c r="BI32" s="8"/>
      <c r="BJ32" s="32"/>
      <c r="BK32" s="32"/>
      <c r="BL32" s="32"/>
      <c r="BM32" s="32"/>
      <c r="BN32" s="32"/>
      <c r="BO32" s="8"/>
      <c r="BP32" s="32"/>
      <c r="BQ32" s="32"/>
      <c r="BR32" s="32"/>
      <c r="BS32" s="32"/>
      <c r="BT32" s="32"/>
      <c r="BU32" s="8"/>
      <c r="BV32" s="32"/>
      <c r="BW32" s="32"/>
      <c r="BX32" s="32"/>
      <c r="BY32" s="32"/>
      <c r="BZ32" s="32"/>
      <c r="CA32" s="8"/>
      <c r="CB32" s="32"/>
      <c r="CC32" s="32"/>
    </row>
    <row r="33" spans="4:81" ht="26.5" customHeight="1" x14ac:dyDescent="0.25">
      <c r="I33" s="34"/>
      <c r="J33" s="34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</row>
    <row r="34" spans="4:81" ht="26.5" customHeight="1" x14ac:dyDescent="0.25"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</row>
    <row r="35" spans="4:81" ht="26.5" customHeight="1" x14ac:dyDescent="0.25">
      <c r="F35" s="34"/>
      <c r="G35" s="35"/>
      <c r="M35" s="34"/>
    </row>
    <row r="36" spans="4:81" ht="26.5" customHeight="1" x14ac:dyDescent="0.25">
      <c r="D36" s="34"/>
      <c r="F36" s="34"/>
      <c r="G36" s="35"/>
    </row>
  </sheetData>
  <mergeCells count="13">
    <mergeCell ref="A31:G31"/>
    <mergeCell ref="K7:Q7"/>
    <mergeCell ref="A3:Q3"/>
    <mergeCell ref="A4:Q4"/>
    <mergeCell ref="A5:Q5"/>
    <mergeCell ref="E7:J7"/>
    <mergeCell ref="A11:A12"/>
    <mergeCell ref="A9:A10"/>
    <mergeCell ref="A22:A25"/>
    <mergeCell ref="A17:A18"/>
    <mergeCell ref="A13:A14"/>
    <mergeCell ref="A15:A16"/>
    <mergeCell ref="A19:A21"/>
  </mergeCells>
  <printOptions horizontalCentered="1"/>
  <pageMargins left="0" right="0" top="0.35433070866141736" bottom="0.35433070866141736" header="0.31496062992125984" footer="0.31496062992125984"/>
  <pageSetup paperSize="9" scale="3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ALTERNATIVA ADJUDICADA</vt:lpstr>
      <vt:lpstr>valoración</vt:lpstr>
      <vt:lpstr>'ALTERNATIVA ADJUDICADA'!Área_de_impresión</vt:lpstr>
      <vt:lpstr>valoración!Área_de_impresión</vt:lpstr>
    </vt:vector>
  </TitlesOfParts>
  <Company>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antonio_casanova</dc:creator>
  <cp:lastModifiedBy>MARIA DOLORES PEREZ CASELLES</cp:lastModifiedBy>
  <cp:lastPrinted>2021-11-19T11:28:43Z</cp:lastPrinted>
  <dcterms:created xsi:type="dcterms:W3CDTF">2007-03-30T09:59:06Z</dcterms:created>
  <dcterms:modified xsi:type="dcterms:W3CDTF">2025-01-31T10:50:08Z</dcterms:modified>
</cp:coreProperties>
</file>