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3 EN INFORME\C S-05647-2024 - AT evaluac riesgo arbolado parcelas CRTVE MADRID y SAN CUGAT (VVvarias)\7 Informes\"/>
    </mc:Choice>
  </mc:AlternateContent>
  <xr:revisionPtr revIDLastSave="0" documentId="13_ncr:1_{4D75DD9F-54D3-4B27-9A99-42448ADBEAAE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ADJUDICADA'!$A$1:$E$21</definedName>
    <definedName name="_xlnm.Print_Area" localSheetId="1">valoración!$A$2:$AE$21</definedName>
  </definedNames>
  <calcPr calcId="191029"/>
</workbook>
</file>

<file path=xl/calcChain.xml><?xml version="1.0" encoding="utf-8"?>
<calcChain xmlns="http://schemas.openxmlformats.org/spreadsheetml/2006/main">
  <c r="M10" i="6" l="1"/>
  <c r="M11" i="6"/>
  <c r="M12" i="6"/>
  <c r="M13" i="6"/>
  <c r="M14" i="6"/>
  <c r="M15" i="6"/>
  <c r="M16" i="6"/>
  <c r="M9" i="6"/>
  <c r="C17" i="6" l="1"/>
  <c r="Z14" i="5"/>
  <c r="Z11" i="5"/>
  <c r="T14" i="5"/>
  <c r="U14" i="5" s="1"/>
  <c r="T11" i="5"/>
  <c r="U11" i="5" s="1"/>
  <c r="S14" i="5"/>
  <c r="S11" i="5"/>
  <c r="S16" i="5"/>
  <c r="T15" i="5"/>
  <c r="U15" i="5" s="1"/>
  <c r="S15" i="5"/>
  <c r="S13" i="5"/>
  <c r="T16" i="5" s="1"/>
  <c r="U16" i="5" s="1"/>
  <c r="S12" i="5"/>
  <c r="S10" i="5"/>
  <c r="T10" i="5" s="1"/>
  <c r="U10" i="5" s="1"/>
  <c r="S9" i="5"/>
  <c r="T9" i="5" s="1"/>
  <c r="U9" i="5" s="1"/>
  <c r="L14" i="5"/>
  <c r="L15" i="5"/>
  <c r="N10" i="5"/>
  <c r="N11" i="5"/>
  <c r="N12" i="5"/>
  <c r="M10" i="5"/>
  <c r="M11" i="5"/>
  <c r="M12" i="5"/>
  <c r="L10" i="5"/>
  <c r="L11" i="5"/>
  <c r="L12" i="5"/>
  <c r="G14" i="5"/>
  <c r="G15" i="5"/>
  <c r="G16" i="5"/>
  <c r="F14" i="5"/>
  <c r="F15" i="5"/>
  <c r="F16" i="5"/>
  <c r="C17" i="5"/>
  <c r="I14" i="5" s="1"/>
  <c r="F11" i="5"/>
  <c r="G11" i="5" s="1"/>
  <c r="F12" i="5"/>
  <c r="G12" i="5" s="1"/>
  <c r="P15" i="5" l="1"/>
  <c r="W16" i="5"/>
  <c r="X16" i="5" s="1"/>
  <c r="P14" i="5"/>
  <c r="AD12" i="5"/>
  <c r="W10" i="5"/>
  <c r="X10" i="5" s="1"/>
  <c r="W13" i="5"/>
  <c r="AD11" i="5"/>
  <c r="AE11" i="5" s="1"/>
  <c r="W15" i="5"/>
  <c r="X15" i="5" s="1"/>
  <c r="W14" i="5"/>
  <c r="X14" i="5" s="1"/>
  <c r="AD10" i="5"/>
  <c r="AE10" i="5" s="1"/>
  <c r="W12" i="5"/>
  <c r="W9" i="5"/>
  <c r="X9" i="5" s="1"/>
  <c r="AD15" i="5"/>
  <c r="J14" i="5"/>
  <c r="T12" i="5"/>
  <c r="U12" i="5" s="1"/>
  <c r="T13" i="5"/>
  <c r="U13" i="5" s="1"/>
  <c r="AD14" i="5"/>
  <c r="X13" i="5" l="1"/>
  <c r="X12" i="5"/>
  <c r="L17" i="6"/>
  <c r="X17" i="5"/>
  <c r="F13" i="5" l="1"/>
  <c r="F10" i="5"/>
  <c r="F9" i="5"/>
  <c r="G9" i="5" s="1"/>
  <c r="A4" i="6" l="1"/>
  <c r="A3" i="6"/>
  <c r="A2" i="6"/>
  <c r="Z16" i="5" l="1"/>
  <c r="L16" i="5"/>
  <c r="Z15" i="5"/>
  <c r="AA14" i="5" s="1"/>
  <c r="AB14" i="5" s="1"/>
  <c r="Z13" i="5"/>
  <c r="L13" i="5"/>
  <c r="G13" i="5"/>
  <c r="Z12" i="5"/>
  <c r="AA11" i="5" s="1"/>
  <c r="AB11" i="5" s="1"/>
  <c r="Z10" i="5"/>
  <c r="I10" i="5"/>
  <c r="G10" i="5"/>
  <c r="Z9" i="5"/>
  <c r="P9" i="5"/>
  <c r="L9" i="5"/>
  <c r="M15" i="5" l="1"/>
  <c r="N15" i="5" s="1"/>
  <c r="Q15" i="5" s="1"/>
  <c r="M14" i="5"/>
  <c r="N14" i="5" s="1"/>
  <c r="Q14" i="5" s="1"/>
  <c r="AA13" i="5"/>
  <c r="AB13" i="5" s="1"/>
  <c r="I12" i="5"/>
  <c r="J12" i="5" s="1"/>
  <c r="AD9" i="5"/>
  <c r="I16" i="5"/>
  <c r="J16" i="5" s="1"/>
  <c r="P13" i="5"/>
  <c r="P12" i="5"/>
  <c r="Q12" i="5" s="1"/>
  <c r="AD13" i="5"/>
  <c r="P16" i="5"/>
  <c r="P10" i="5"/>
  <c r="I15" i="5"/>
  <c r="J15" i="5" s="1"/>
  <c r="I9" i="5"/>
  <c r="J9" i="5" s="1"/>
  <c r="AD16" i="5"/>
  <c r="I13" i="5"/>
  <c r="J13" i="5" s="1"/>
  <c r="AA16" i="5"/>
  <c r="AB16" i="5" s="1"/>
  <c r="AA15" i="5"/>
  <c r="AB15" i="5" s="1"/>
  <c r="AE15" i="5" s="1"/>
  <c r="AA12" i="5"/>
  <c r="AB12" i="5" s="1"/>
  <c r="M16" i="5"/>
  <c r="N16" i="5" s="1"/>
  <c r="M13" i="5"/>
  <c r="N13" i="5" s="1"/>
  <c r="M9" i="5"/>
  <c r="N9" i="5" s="1"/>
  <c r="Q9" i="5" s="1"/>
  <c r="J10" i="5"/>
  <c r="AA10" i="5"/>
  <c r="AB10" i="5" s="1"/>
  <c r="AA9" i="5"/>
  <c r="AB9" i="5" s="1"/>
  <c r="AE9" i="5" l="1"/>
  <c r="AE13" i="5"/>
  <c r="J17" i="5"/>
  <c r="Q10" i="5"/>
  <c r="Q16" i="5"/>
  <c r="AE16" i="5"/>
  <c r="Q13" i="5"/>
  <c r="AE12" i="5"/>
  <c r="AE17" i="5" l="1"/>
  <c r="Q17" i="5"/>
</calcChain>
</file>

<file path=xl/sharedStrings.xml><?xml version="1.0" encoding="utf-8"?>
<sst xmlns="http://schemas.openxmlformats.org/spreadsheetml/2006/main" count="88" uniqueCount="34">
  <si>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</si>
  <si>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</si>
  <si>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</si>
  <si>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</si>
  <si>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</si>
  <si>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</si>
  <si>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</si>
  <si>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Puntuación Total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</si>
  <si>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</si>
  <si>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</si>
  <si>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</si>
  <si>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</si>
  <si>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</si>
  <si>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</si>
  <si>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</si>
  <si>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</si>
  <si>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</si>
  <si>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"Asistencia técnica en evaluación riesgo arbolado en parcelas centros trabajo CRTVE"</t>
  </si>
  <si>
    <t>PROPUESTA DE ADJUDICACIÓN DEL EXPEDIENTE S-05647-2024</t>
  </si>
  <si>
    <t xml:space="preserve">LOTE 1:  </t>
  </si>
  <si>
    <t>AT evaluación riesgo arbolado CRTVE MADRID</t>
  </si>
  <si>
    <t xml:space="preserve">LOTE 2: </t>
  </si>
  <si>
    <t>ARBOL, INVESTIGACION Y GESTION, S.L.</t>
  </si>
  <si>
    <t>DASOTEC S.L.</t>
  </si>
  <si>
    <t>INGENIERÍA SANPE SL</t>
  </si>
  <si>
    <t>TECNIGRAL SL</t>
  </si>
  <si>
    <t>Importe Oferta</t>
  </si>
  <si>
    <t>-</t>
  </si>
  <si>
    <t>Alternativa 3: oferta conjunta "DASOTEC S.L." por los  lotes 1 y2 (26% de decuento)</t>
  </si>
  <si>
    <t>Alternativa 2: oferta conjunta "ARBOL, INVESTIGACIÓN Y GESTIÓN S.L." por los dos lotes (17% de descuento)</t>
  </si>
  <si>
    <t>Alternativa 4: oferta conjunta "INGENIERÍA SANPE S.L." por los  lotes 1 y 2 (2% de decuento)</t>
  </si>
  <si>
    <r>
      <t>Importe Oferta</t>
    </r>
    <r>
      <rPr>
        <b/>
        <i/>
        <sz val="12"/>
        <rFont val="Tahoma"/>
        <family val="2"/>
      </rPr>
      <t xml:space="preserve"> </t>
    </r>
  </si>
  <si>
    <t>Madrid, a 14 de mayo de 2025</t>
  </si>
  <si>
    <t>%  Ahorro s/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</si>
</sst>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77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right" vertical="center" wrapText="1"/>
    </xf>
    <xf numFmtId="166" fontId="17" fillId="0" borderId="22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5" xfId="0" applyNumberFormat="1" applyFont="1" applyFill="1" applyBorder="1" applyAlignment="1">
      <alignment horizontal="left" vertical="top" wrapText="1"/>
    </xf>
    <xf numFmtId="164" fontId="5" fillId="0" borderId="26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4" fontId="9" fillId="4" borderId="14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6" borderId="0" xfId="0" applyFill="1"/>
    <xf numFmtId="0" fontId="5" fillId="6" borderId="6" xfId="0" applyFont="1" applyFill="1" applyBorder="1"/>
    <xf numFmtId="0" fontId="9" fillId="3" borderId="28" xfId="0" applyFont="1" applyFill="1" applyBorder="1" applyAlignment="1">
      <alignment vertical="center" wrapText="1"/>
    </xf>
    <xf numFmtId="0" fontId="9" fillId="3" borderId="29" xfId="0" applyFont="1" applyFill="1" applyBorder="1" applyAlignment="1">
      <alignment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166" fontId="6" fillId="0" borderId="34" xfId="0" applyNumberFormat="1" applyFont="1" applyFill="1" applyBorder="1" applyAlignment="1">
      <alignment horizontal="center" vertical="center"/>
    </xf>
    <xf numFmtId="0" fontId="6" fillId="0" borderId="39" xfId="0" applyNumberFormat="1" applyFont="1" applyFill="1" applyBorder="1" applyAlignment="1">
      <alignment horizontal="left" vertical="center" wrapText="1"/>
    </xf>
    <xf numFmtId="0" fontId="6" fillId="0" borderId="40" xfId="0" applyNumberFormat="1" applyFont="1" applyFill="1" applyBorder="1" applyAlignment="1">
      <alignment horizontal="left" vertical="center" wrapText="1"/>
    </xf>
    <xf numFmtId="166" fontId="6" fillId="0" borderId="11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center" vertical="center"/>
    </xf>
    <xf numFmtId="4" fontId="6" fillId="0" borderId="34" xfId="0" applyNumberFormat="1" applyFont="1" applyFill="1" applyBorder="1" applyAlignment="1">
      <alignment horizontal="right" vertical="center" indent="1"/>
    </xf>
    <xf numFmtId="10" fontId="5" fillId="0" borderId="34" xfId="0" applyNumberFormat="1" applyFont="1" applyFill="1" applyBorder="1" applyAlignment="1">
      <alignment horizontal="center" vertical="center"/>
    </xf>
    <xf numFmtId="164" fontId="5" fillId="0" borderId="35" xfId="2" applyFont="1" applyFill="1" applyBorder="1" applyAlignment="1">
      <alignment horizontal="center" vertical="center"/>
    </xf>
    <xf numFmtId="9" fontId="5" fillId="0" borderId="31" xfId="3" applyFont="1" applyFill="1" applyBorder="1" applyAlignment="1">
      <alignment horizontal="center" vertical="center"/>
    </xf>
    <xf numFmtId="166" fontId="6" fillId="0" borderId="34" xfId="0" applyNumberFormat="1" applyFont="1" applyFill="1" applyBorder="1" applyAlignment="1">
      <alignment horizontal="right" vertical="center" indent="1"/>
    </xf>
    <xf numFmtId="0" fontId="6" fillId="0" borderId="21" xfId="0" applyNumberFormat="1" applyFont="1" applyFill="1" applyBorder="1" applyAlignment="1">
      <alignment horizontal="left" vertical="center" wrapText="1"/>
    </xf>
    <xf numFmtId="4" fontId="6" fillId="0" borderId="41" xfId="0" applyNumberFormat="1" applyFont="1" applyFill="1" applyBorder="1" applyAlignment="1">
      <alignment horizontal="center" vertical="center"/>
    </xf>
    <xf numFmtId="4" fontId="6" fillId="0" borderId="27" xfId="0" applyNumberFormat="1" applyFont="1" applyFill="1" applyBorder="1" applyAlignment="1">
      <alignment horizontal="center" vertical="center"/>
    </xf>
    <xf numFmtId="4" fontId="6" fillId="0" borderId="42" xfId="0" applyNumberFormat="1" applyFont="1" applyFill="1" applyBorder="1" applyAlignment="1">
      <alignment horizontal="center" vertical="center"/>
    </xf>
    <xf numFmtId="165" fontId="5" fillId="0" borderId="36" xfId="2" applyNumberFormat="1" applyFont="1" applyFill="1" applyBorder="1" applyAlignment="1">
      <alignment horizontal="center" vertical="center"/>
    </xf>
    <xf numFmtId="165" fontId="5" fillId="0" borderId="37" xfId="2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right" vertical="center" indent="1"/>
    </xf>
    <xf numFmtId="166" fontId="6" fillId="5" borderId="7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14" xfId="0" applyNumberFormat="1" applyFont="1" applyFill="1" applyBorder="1" applyAlignment="1">
      <alignment horizontal="right" vertical="center" indent="1"/>
    </xf>
    <xf numFmtId="165" fontId="5" fillId="5" borderId="37" xfId="2" applyNumberFormat="1" applyFont="1" applyFill="1" applyBorder="1" applyAlignment="1">
      <alignment horizontal="center" vertical="center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165" fontId="5" fillId="0" borderId="44" xfId="2" applyNumberFormat="1" applyFont="1" applyFill="1" applyBorder="1" applyAlignment="1">
      <alignment horizontal="center" vertical="center"/>
    </xf>
    <xf numFmtId="4" fontId="6" fillId="0" borderId="20" xfId="0" applyNumberFormat="1" applyFont="1" applyFill="1" applyBorder="1" applyAlignment="1">
      <alignment horizontal="right" vertical="center" indent="1"/>
    </xf>
    <xf numFmtId="4" fontId="6" fillId="0" borderId="41" xfId="0" applyNumberFormat="1" applyFont="1" applyFill="1" applyBorder="1" applyAlignment="1">
      <alignment horizontal="right" vertical="center" indent="1"/>
    </xf>
    <xf numFmtId="4" fontId="6" fillId="0" borderId="27" xfId="0" applyNumberFormat="1" applyFont="1" applyFill="1" applyBorder="1" applyAlignment="1">
      <alignment horizontal="right" vertical="center" indent="1"/>
    </xf>
    <xf numFmtId="4" fontId="6" fillId="0" borderId="42" xfId="0" applyNumberFormat="1" applyFont="1" applyFill="1" applyBorder="1" applyAlignment="1">
      <alignment horizontal="right" vertical="center" indent="1"/>
    </xf>
    <xf numFmtId="9" fontId="5" fillId="0" borderId="36" xfId="3" applyFont="1" applyFill="1" applyBorder="1" applyAlignment="1">
      <alignment horizontal="center" vertical="center"/>
    </xf>
    <xf numFmtId="9" fontId="5" fillId="0" borderId="37" xfId="3" applyFont="1" applyFill="1" applyBorder="1" applyAlignment="1">
      <alignment horizontal="center" vertical="center"/>
    </xf>
    <xf numFmtId="165" fontId="5" fillId="0" borderId="38" xfId="2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4" fontId="6" fillId="5" borderId="27" xfId="0" applyNumberFormat="1" applyFont="1" applyFill="1" applyBorder="1" applyAlignment="1">
      <alignment horizontal="right" vertical="center" indent="1"/>
    </xf>
    <xf numFmtId="165" fontId="5" fillId="5" borderId="7" xfId="2" applyNumberFormat="1" applyFont="1" applyFill="1" applyBorder="1" applyAlignment="1">
      <alignment horizontal="center" vertical="center"/>
    </xf>
    <xf numFmtId="164" fontId="5" fillId="0" borderId="41" xfId="2" applyFont="1" applyFill="1" applyBorder="1" applyAlignment="1">
      <alignment horizontal="center" vertical="center"/>
    </xf>
    <xf numFmtId="164" fontId="5" fillId="5" borderId="27" xfId="2" applyFont="1" applyFill="1" applyBorder="1" applyAlignment="1">
      <alignment horizontal="center" vertical="center"/>
    </xf>
    <xf numFmtId="164" fontId="5" fillId="0" borderId="27" xfId="2" applyFont="1" applyFill="1" applyBorder="1" applyAlignment="1">
      <alignment horizontal="center" vertical="center"/>
    </xf>
    <xf numFmtId="164" fontId="5" fillId="0" borderId="45" xfId="2" applyFont="1" applyFill="1" applyBorder="1" applyAlignment="1">
      <alignment horizontal="center" vertical="center"/>
    </xf>
    <xf numFmtId="0" fontId="1" fillId="0" borderId="37" xfId="0" applyFont="1" applyFill="1" applyBorder="1"/>
    <xf numFmtId="9" fontId="5" fillId="5" borderId="11" xfId="3" applyFont="1" applyFill="1" applyBorder="1" applyAlignment="1">
      <alignment horizontal="center" vertical="center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4" fontId="6" fillId="5" borderId="13" xfId="0" applyNumberFormat="1" applyFont="1" applyFill="1" applyBorder="1" applyAlignment="1">
      <alignment horizontal="right" vertical="center" indent="1"/>
    </xf>
    <xf numFmtId="165" fontId="5" fillId="5" borderId="36" xfId="2" applyNumberFormat="1" applyFont="1" applyFill="1" applyBorder="1" applyAlignment="1">
      <alignment horizontal="center" vertical="center"/>
    </xf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4" fontId="6" fillId="0" borderId="32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right" vertical="center" indent="1"/>
    </xf>
    <xf numFmtId="164" fontId="5" fillId="0" borderId="42" xfId="2" applyFont="1" applyFill="1" applyBorder="1" applyAlignment="1">
      <alignment horizontal="center" vertical="center"/>
    </xf>
    <xf numFmtId="166" fontId="6" fillId="0" borderId="19" xfId="0" applyNumberFormat="1" applyFont="1" applyFill="1" applyBorder="1" applyAlignment="1">
      <alignment horizontal="right" vertical="center" indent="1"/>
    </xf>
    <xf numFmtId="9" fontId="5" fillId="5" borderId="7" xfId="3" applyFont="1" applyFill="1" applyBorder="1" applyAlignment="1">
      <alignment horizontal="center" vertical="center"/>
    </xf>
    <xf numFmtId="0" fontId="16" fillId="4" borderId="25" xfId="0" applyNumberFormat="1" applyFont="1" applyFill="1" applyBorder="1" applyAlignment="1">
      <alignment horizontal="left" vertical="top" wrapText="1"/>
    </xf>
    <xf numFmtId="164" fontId="20" fillId="4" borderId="26" xfId="2" applyFont="1" applyFill="1" applyBorder="1" applyAlignment="1">
      <alignment horizontal="center" vertical="center"/>
    </xf>
    <xf numFmtId="9" fontId="5" fillId="4" borderId="37" xfId="3" applyFont="1" applyFill="1" applyBorder="1" applyAlignment="1">
      <alignment horizontal="center" vertical="center"/>
    </xf>
    <xf numFmtId="10" fontId="5" fillId="4" borderId="2" xfId="0" applyNumberFormat="1" applyFont="1" applyFill="1" applyBorder="1" applyAlignment="1">
      <alignment horizontal="center" vertical="center"/>
    </xf>
    <xf numFmtId="164" fontId="5" fillId="4" borderId="14" xfId="2" applyFont="1" applyFill="1" applyBorder="1" applyAlignment="1">
      <alignment horizontal="center" vertical="center"/>
    </xf>
    <xf numFmtId="9" fontId="5" fillId="4" borderId="31" xfId="3" applyFont="1" applyFill="1" applyBorder="1" applyAlignment="1">
      <alignment horizontal="center" vertical="center"/>
    </xf>
    <xf numFmtId="166" fontId="6" fillId="4" borderId="34" xfId="0" applyNumberFormat="1" applyFont="1" applyFill="1" applyBorder="1" applyAlignment="1">
      <alignment horizontal="right" vertical="center" indent="1"/>
    </xf>
    <xf numFmtId="10" fontId="5" fillId="4" borderId="34" xfId="0" applyNumberFormat="1" applyFont="1" applyFill="1" applyBorder="1" applyAlignment="1">
      <alignment horizontal="center" vertical="center"/>
    </xf>
    <xf numFmtId="164" fontId="5" fillId="4" borderId="46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0" fontId="1" fillId="0" borderId="36" xfId="0" applyFont="1" applyFill="1" applyBorder="1"/>
    <xf numFmtId="9" fontId="5" fillId="4" borderId="7" xfId="3" applyFont="1" applyFill="1" applyBorder="1" applyAlignment="1">
      <alignment horizontal="center" vertical="center"/>
    </xf>
    <xf numFmtId="4" fontId="6" fillId="0" borderId="33" xfId="0" applyNumberFormat="1" applyFont="1" applyFill="1" applyBorder="1" applyAlignment="1">
      <alignment horizontal="right" vertical="center" indent="1"/>
    </xf>
    <xf numFmtId="4" fontId="6" fillId="0" borderId="35" xfId="0" applyNumberFormat="1" applyFont="1" applyFill="1" applyBorder="1" applyAlignment="1">
      <alignment horizontal="right" vertical="center" indent="1"/>
    </xf>
    <xf numFmtId="0" fontId="6" fillId="4" borderId="40" xfId="0" applyNumberFormat="1" applyFont="1" applyFill="1" applyBorder="1" applyAlignment="1">
      <alignment horizontal="left" vertical="center" wrapText="1"/>
    </xf>
    <xf numFmtId="166" fontId="6" fillId="4" borderId="34" xfId="0" applyNumberFormat="1" applyFont="1" applyFill="1" applyBorder="1" applyAlignment="1">
      <alignment horizontal="center" vertical="center"/>
    </xf>
    <xf numFmtId="0" fontId="20" fillId="6" borderId="6" xfId="0" applyFont="1" applyFill="1" applyBorder="1"/>
    <xf numFmtId="0" fontId="1" fillId="4" borderId="37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166" fontId="17" fillId="0" borderId="0" xfId="0" applyNumberFormat="1" applyFont="1" applyFill="1" applyBorder="1" applyAlignment="1">
      <alignment horizontal="center" vertical="center"/>
    </xf>
    <xf numFmtId="166" fontId="6" fillId="0" borderId="39" xfId="0" applyNumberFormat="1" applyFont="1" applyFill="1" applyBorder="1" applyAlignment="1">
      <alignment horizontal="center" vertical="center"/>
    </xf>
    <xf numFmtId="166" fontId="6" fillId="4" borderId="40" xfId="0" applyNumberFormat="1" applyFont="1" applyFill="1" applyBorder="1" applyAlignment="1">
      <alignment horizontal="center" vertical="center"/>
    </xf>
    <xf numFmtId="166" fontId="6" fillId="0" borderId="40" xfId="0" applyNumberFormat="1" applyFont="1" applyFill="1" applyBorder="1" applyAlignment="1">
      <alignment horizontal="center" vertical="center"/>
    </xf>
    <xf numFmtId="166" fontId="6" fillId="0" borderId="21" xfId="0" applyNumberFormat="1" applyFont="1" applyFill="1" applyBorder="1" applyAlignment="1">
      <alignment horizontal="center" vertical="center"/>
    </xf>
    <xf numFmtId="4" fontId="6" fillId="0" borderId="11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center" vertical="center"/>
    </xf>
    <xf numFmtId="4" fontId="6" fillId="4" borderId="7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9" fontId="18" fillId="0" borderId="24" xfId="3" applyFont="1" applyFill="1" applyBorder="1" applyAlignment="1">
      <alignment horizontal="left" vertical="center"/>
    </xf>
    <xf numFmtId="0" fontId="9" fillId="2" borderId="47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3" xfId="2" applyNumberFormat="1" applyFont="1" applyFill="1" applyBorder="1" applyAlignment="1">
      <alignment horizontal="left" vertical="center"/>
    </xf>
    <xf numFmtId="165" fontId="18" fillId="0" borderId="24" xfId="2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1" fillId="0" borderId="37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4" fontId="0" fillId="0" borderId="0" xfId="0" applyNumberFormat="1"/>
    <xf numFmtId="4" fontId="6" fillId="4" borderId="50" xfId="0" applyNumberFormat="1" applyFont="1" applyFill="1" applyBorder="1" applyAlignment="1">
      <alignment horizontal="center" vertical="center"/>
    </xf>
    <xf numFmtId="4" fontId="6" fillId="0" borderId="49" xfId="0" applyNumberFormat="1" applyFont="1" applyFill="1" applyBorder="1" applyAlignment="1">
      <alignment horizontal="center" vertical="center"/>
    </xf>
    <xf numFmtId="4" fontId="6" fillId="0" borderId="50" xfId="0" applyNumberFormat="1" applyFont="1" applyFill="1" applyBorder="1" applyAlignment="1">
      <alignment horizontal="center" vertical="center"/>
    </xf>
    <xf numFmtId="4" fontId="6" fillId="0" borderId="51" xfId="0" applyNumberFormat="1" applyFont="1" applyFill="1" applyBorder="1" applyAlignment="1">
      <alignment horizontal="center" vertical="center"/>
    </xf>
    <xf numFmtId="164" fontId="5" fillId="4" borderId="27" xfId="2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 vertical="center"/>
    </xf>
    <xf numFmtId="0" fontId="16" fillId="4" borderId="52" xfId="0" applyNumberFormat="1" applyFont="1" applyFill="1" applyBorder="1" applyAlignment="1">
      <alignment horizontal="left" vertical="top" wrapText="1"/>
    </xf>
    <xf numFmtId="164" fontId="20" fillId="4" borderId="22" xfId="2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tabSelected="1" zoomScale="40" zoomScaleNormal="40" workbookViewId="0">
      <selection activeCell="G14" sqref="G14"/>
    </sheetView>
  </sheetViews>
  <sheetFormatPr baseColWidth="10" defaultRowHeight="12.75" x14ac:dyDescent="0.2"/>
  <cols>
    <col min="1" max="1" width="32.85546875" customWidth="1"/>
    <col min="2" max="2" width="30.5703125" customWidth="1"/>
    <col min="3" max="3" width="29.5703125" customWidth="1"/>
    <col min="4" max="4" width="9.140625" customWidth="1"/>
    <col min="5" max="5" width="8.140625" customWidth="1"/>
    <col min="7" max="7" width="15.42578125" bestFit="1" customWidth="1"/>
    <col min="11" max="11" width="15.5703125" customWidth="1"/>
    <col min="12" max="12" width="13.7109375" bestFit="1" customWidth="1"/>
    <col min="13" max="13" width="15.140625" customWidth="1"/>
  </cols>
  <sheetData>
    <row r="1" spans="1:16" ht="48" customHeight="1" x14ac:dyDescent="0.2">
      <c r="A1" s="60"/>
      <c r="B1" s="60"/>
      <c r="C1" s="60"/>
      <c r="D1" s="60"/>
      <c r="E1" s="60"/>
    </row>
    <row r="2" spans="1:16" ht="18" x14ac:dyDescent="0.25">
      <c r="A2" s="154" t="str">
        <f>valoración!A3</f>
        <v>PROPUESTA DE ADJUDICACIÓN DEL EXPEDIENTE S-05647-2024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</row>
    <row r="3" spans="1:16" ht="18" x14ac:dyDescent="0.25">
      <c r="A3" s="154" t="str">
        <f>valoración!A4</f>
        <v>"Asistencia técnica en evaluación riesgo arbolado en parcelas centros trabajo CRTVE"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</row>
    <row r="4" spans="1:16" ht="18" x14ac:dyDescent="0.25">
      <c r="A4" s="154" t="str">
        <f>valoración!A5</f>
        <v>RESUMEN PUNTUACIÓN TÉCNICA Y ECONÓMICA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</row>
    <row r="5" spans="1:16" x14ac:dyDescent="0.2">
      <c r="A5" s="60"/>
      <c r="B5" s="60"/>
      <c r="C5" s="60"/>
      <c r="D5" s="60"/>
      <c r="E5" s="60"/>
    </row>
    <row r="6" spans="1:16" ht="13.5" thickBot="1" x14ac:dyDescent="0.25">
      <c r="A6" s="60"/>
      <c r="B6" s="60"/>
      <c r="C6" s="60"/>
      <c r="D6" s="60"/>
      <c r="E6" s="60"/>
    </row>
    <row r="7" spans="1:16" ht="30.75" customHeight="1" thickBot="1" x14ac:dyDescent="0.3">
      <c r="A7" s="2"/>
      <c r="B7" s="6"/>
      <c r="C7" s="7"/>
      <c r="D7" s="7"/>
      <c r="E7" s="7"/>
      <c r="F7" s="149" t="s">
        <v>28</v>
      </c>
      <c r="G7" s="150"/>
      <c r="H7" s="150"/>
      <c r="I7" s="150"/>
      <c r="J7" s="150"/>
      <c r="K7" s="150"/>
      <c r="L7" s="151"/>
    </row>
    <row r="8" spans="1:16" ht="60.75" thickBot="1" x14ac:dyDescent="0.25">
      <c r="A8" s="15" t="s">
        <v>4</v>
      </c>
      <c r="B8" s="64" t="s">
        <v>5</v>
      </c>
      <c r="C8" s="65" t="s">
        <v>6</v>
      </c>
      <c r="D8" s="152" t="s">
        <v>0</v>
      </c>
      <c r="E8" s="153"/>
      <c r="F8" s="16" t="s">
        <v>14</v>
      </c>
      <c r="G8" s="16" t="s">
        <v>31</v>
      </c>
      <c r="H8" s="17" t="s">
        <v>1</v>
      </c>
      <c r="I8" s="17" t="s">
        <v>15</v>
      </c>
      <c r="J8" s="17" t="s">
        <v>8</v>
      </c>
      <c r="K8" s="17" t="s">
        <v>9</v>
      </c>
      <c r="L8" s="18" t="s">
        <v>10</v>
      </c>
      <c r="M8" s="65" t="s">
        <v>33</v>
      </c>
    </row>
    <row r="9" spans="1:16" ht="35.1" customHeight="1" x14ac:dyDescent="0.2">
      <c r="A9" s="62" t="s">
        <v>19</v>
      </c>
      <c r="B9" s="68" t="s">
        <v>22</v>
      </c>
      <c r="C9" s="140">
        <v>20000</v>
      </c>
      <c r="D9" s="144">
        <v>39</v>
      </c>
      <c r="E9" s="22">
        <v>20</v>
      </c>
      <c r="F9" s="96"/>
      <c r="G9" s="49">
        <v>17450</v>
      </c>
      <c r="H9" s="24">
        <v>11.509537640317138</v>
      </c>
      <c r="I9" s="56">
        <v>70.509537640317134</v>
      </c>
      <c r="J9" s="82"/>
      <c r="K9" s="37">
        <v>0</v>
      </c>
      <c r="L9" s="103">
        <v>0</v>
      </c>
      <c r="M9" s="170">
        <f>100-($G9*100/$C9)</f>
        <v>12.75</v>
      </c>
    </row>
    <row r="10" spans="1:16" ht="35.1" customHeight="1" x14ac:dyDescent="0.2">
      <c r="A10" s="63" t="s">
        <v>20</v>
      </c>
      <c r="B10" s="134" t="s">
        <v>23</v>
      </c>
      <c r="C10" s="141">
        <v>20000</v>
      </c>
      <c r="D10" s="147">
        <v>39</v>
      </c>
      <c r="E10" s="148">
        <v>20</v>
      </c>
      <c r="F10" s="122">
        <v>0.26</v>
      </c>
      <c r="G10" s="59">
        <v>10952</v>
      </c>
      <c r="H10" s="25">
        <v>37.013894340215089</v>
      </c>
      <c r="I10" s="57">
        <v>96.013894340215089</v>
      </c>
      <c r="J10" s="137">
        <v>1</v>
      </c>
      <c r="K10" s="123">
        <v>0.70921985815602839</v>
      </c>
      <c r="L10" s="173">
        <v>68.094960524975249</v>
      </c>
      <c r="M10" s="169">
        <f t="shared" ref="M10:M16" si="0">100-($G10*100/$C10)</f>
        <v>45.24</v>
      </c>
    </row>
    <row r="11" spans="1:16" ht="35.1" customHeight="1" x14ac:dyDescent="0.2">
      <c r="A11" s="63"/>
      <c r="B11" s="69" t="s">
        <v>24</v>
      </c>
      <c r="C11" s="142">
        <v>20000</v>
      </c>
      <c r="D11" s="145">
        <v>10</v>
      </c>
      <c r="E11" s="30">
        <v>20</v>
      </c>
      <c r="F11" s="97"/>
      <c r="G11" s="51">
        <v>10191.200000000001</v>
      </c>
      <c r="H11" s="32">
        <v>40</v>
      </c>
      <c r="I11" s="84">
        <v>70</v>
      </c>
      <c r="J11" s="107"/>
      <c r="K11" s="39"/>
      <c r="L11" s="105"/>
      <c r="M11" s="171">
        <f t="shared" si="0"/>
        <v>49.043999999999997</v>
      </c>
      <c r="P11" s="168"/>
    </row>
    <row r="12" spans="1:16" ht="35.1" customHeight="1" thickBot="1" x14ac:dyDescent="0.25">
      <c r="A12" s="63"/>
      <c r="B12" s="78" t="s">
        <v>25</v>
      </c>
      <c r="C12" s="143">
        <v>20000</v>
      </c>
      <c r="D12" s="146">
        <v>38</v>
      </c>
      <c r="E12" s="27">
        <v>20</v>
      </c>
      <c r="F12" s="97"/>
      <c r="G12" s="51">
        <v>16000</v>
      </c>
      <c r="H12" s="32">
        <v>17.200722191694801</v>
      </c>
      <c r="I12" s="84">
        <v>75.200722191694808</v>
      </c>
      <c r="J12" s="107"/>
      <c r="K12" s="39">
        <v>0</v>
      </c>
      <c r="L12" s="105">
        <v>0</v>
      </c>
      <c r="M12" s="172">
        <f t="shared" si="0"/>
        <v>20</v>
      </c>
    </row>
    <row r="13" spans="1:16" ht="35.1" customHeight="1" x14ac:dyDescent="0.2">
      <c r="A13" s="19" t="s">
        <v>21</v>
      </c>
      <c r="B13" s="68" t="s">
        <v>22</v>
      </c>
      <c r="C13" s="67">
        <v>8000</v>
      </c>
      <c r="D13" s="144">
        <v>39</v>
      </c>
      <c r="E13" s="22">
        <v>20</v>
      </c>
      <c r="F13" s="48"/>
      <c r="G13" s="49">
        <v>6920</v>
      </c>
      <c r="H13" s="115">
        <v>18.356286411658857</v>
      </c>
      <c r="I13" s="132">
        <v>77.356286411658857</v>
      </c>
      <c r="J13" s="130"/>
      <c r="K13" s="37">
        <v>0</v>
      </c>
      <c r="L13" s="103">
        <v>0</v>
      </c>
      <c r="M13" s="170">
        <f t="shared" si="0"/>
        <v>13.5</v>
      </c>
    </row>
    <row r="14" spans="1:16" ht="35.1" customHeight="1" x14ac:dyDescent="0.2">
      <c r="A14" s="20"/>
      <c r="B14" s="134" t="s">
        <v>23</v>
      </c>
      <c r="C14" s="135">
        <v>8000</v>
      </c>
      <c r="D14" s="147">
        <v>39</v>
      </c>
      <c r="E14" s="148">
        <v>20</v>
      </c>
      <c r="F14" s="125">
        <v>0.26</v>
      </c>
      <c r="G14" s="126">
        <v>4490.32</v>
      </c>
      <c r="H14" s="25">
        <v>40</v>
      </c>
      <c r="I14" s="57">
        <v>99</v>
      </c>
      <c r="J14" s="138">
        <v>1</v>
      </c>
      <c r="K14" s="127">
        <v>0.29078014184397161</v>
      </c>
      <c r="L14" s="128">
        <v>28.787234042553187</v>
      </c>
      <c r="M14" s="169">
        <f t="shared" si="0"/>
        <v>43.871000000000002</v>
      </c>
    </row>
    <row r="15" spans="1:16" ht="35.1" customHeight="1" x14ac:dyDescent="0.2">
      <c r="A15" s="20" t="s">
        <v>20</v>
      </c>
      <c r="B15" s="69" t="s">
        <v>24</v>
      </c>
      <c r="C15" s="67">
        <v>8000</v>
      </c>
      <c r="D15" s="145">
        <v>10</v>
      </c>
      <c r="E15" s="30">
        <v>20</v>
      </c>
      <c r="F15" s="50"/>
      <c r="G15" s="51">
        <v>4580.8</v>
      </c>
      <c r="H15" s="32">
        <v>39.193999536781341</v>
      </c>
      <c r="I15" s="84">
        <v>69.193999536781348</v>
      </c>
      <c r="J15" s="107"/>
      <c r="K15" s="39">
        <v>0</v>
      </c>
      <c r="L15" s="105">
        <v>0</v>
      </c>
      <c r="M15" s="171">
        <f t="shared" si="0"/>
        <v>42.74</v>
      </c>
      <c r="P15" s="168"/>
    </row>
    <row r="16" spans="1:16" ht="35.1" customHeight="1" thickBot="1" x14ac:dyDescent="0.25">
      <c r="A16" s="21"/>
      <c r="B16" s="69" t="s">
        <v>25</v>
      </c>
      <c r="C16" s="26">
        <v>8000</v>
      </c>
      <c r="D16" s="146">
        <v>38</v>
      </c>
      <c r="E16" s="27">
        <v>20</v>
      </c>
      <c r="F16" s="47"/>
      <c r="G16" s="52">
        <v>6500</v>
      </c>
      <c r="H16" s="29">
        <v>22.09766787222291</v>
      </c>
      <c r="I16" s="58">
        <v>80.097667872222914</v>
      </c>
      <c r="J16" s="91"/>
      <c r="K16" s="41">
        <v>0</v>
      </c>
      <c r="L16" s="117">
        <v>0</v>
      </c>
      <c r="M16" s="172">
        <f t="shared" si="0"/>
        <v>18.75</v>
      </c>
      <c r="P16" s="168"/>
    </row>
    <row r="17" spans="1:13" ht="48.75" customHeight="1" thickBot="1" x14ac:dyDescent="0.25">
      <c r="A17" s="9"/>
      <c r="B17" s="43" t="s">
        <v>11</v>
      </c>
      <c r="C17" s="44">
        <f>C9+C13</f>
        <v>28000</v>
      </c>
      <c r="D17" s="139"/>
      <c r="E17" s="10"/>
      <c r="F17" s="10"/>
      <c r="G17" s="10"/>
      <c r="H17" s="10"/>
      <c r="I17" s="10"/>
      <c r="J17" s="10"/>
      <c r="K17" s="175" t="s">
        <v>12</v>
      </c>
      <c r="L17" s="176">
        <f>SUM(L9:L16)</f>
        <v>96.882194567528444</v>
      </c>
      <c r="M17" s="174"/>
    </row>
    <row r="18" spans="1:13" x14ac:dyDescent="0.2">
      <c r="A18" s="60"/>
      <c r="B18" s="60"/>
      <c r="C18" s="60"/>
      <c r="D18" s="60"/>
      <c r="E18" s="60"/>
    </row>
    <row r="19" spans="1:13" x14ac:dyDescent="0.2">
      <c r="A19" s="60"/>
      <c r="B19" s="60"/>
      <c r="C19" s="60"/>
      <c r="D19" s="60"/>
      <c r="E19" s="60"/>
    </row>
    <row r="20" spans="1:13" ht="14.25" x14ac:dyDescent="0.2">
      <c r="A20" s="61" t="s">
        <v>2</v>
      </c>
      <c r="B20" s="60"/>
      <c r="C20" s="60"/>
      <c r="D20" s="60"/>
      <c r="E20" s="60"/>
    </row>
    <row r="21" spans="1:13" ht="14.25" x14ac:dyDescent="0.2">
      <c r="A21" s="136" t="s">
        <v>32</v>
      </c>
      <c r="B21" s="60"/>
      <c r="C21" s="60"/>
      <c r="D21" s="60"/>
      <c r="E21" s="60"/>
    </row>
    <row r="22" spans="1:13" x14ac:dyDescent="0.2">
      <c r="A22" s="60"/>
      <c r="B22" s="60"/>
      <c r="C22" s="60"/>
      <c r="D22" s="60"/>
      <c r="E22" s="60"/>
    </row>
  </sheetData>
  <mergeCells count="5">
    <mergeCell ref="F7:L7"/>
    <mergeCell ref="D8:E8"/>
    <mergeCell ref="A2:L2"/>
    <mergeCell ref="A3:L3"/>
    <mergeCell ref="A4:L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3"/>
  <sheetViews>
    <sheetView showGridLines="0" showZeros="0" zoomScale="85" zoomScaleNormal="85" workbookViewId="0">
      <selection activeCell="M21" sqref="M21"/>
    </sheetView>
  </sheetViews>
  <sheetFormatPr baseColWidth="10" defaultRowHeight="15" x14ac:dyDescent="0.2"/>
  <cols>
    <col min="1" max="1" width="30.42578125" style="9" customWidth="1"/>
    <col min="2" max="2" width="43.5703125" style="10" customWidth="1"/>
    <col min="3" max="3" width="25.140625" style="10" customWidth="1"/>
    <col min="4" max="4" width="17" style="10" customWidth="1"/>
    <col min="5" max="31" width="16.7109375" style="10" customWidth="1"/>
    <col min="32" max="16384" width="11.42578125" style="10"/>
  </cols>
  <sheetData>
    <row r="1" spans="1:35" x14ac:dyDescent="0.2">
      <c r="AH1" s="12"/>
    </row>
    <row r="2" spans="1:35" s="3" customFormat="1" ht="48" customHeight="1" x14ac:dyDescent="0.15">
      <c r="A2" s="2"/>
      <c r="D2" s="4"/>
      <c r="E2" s="4"/>
      <c r="F2" s="4"/>
      <c r="G2" s="4"/>
      <c r="H2" s="5"/>
      <c r="M2" s="11"/>
      <c r="AH2" s="13" t="s">
        <v>16</v>
      </c>
      <c r="AI2" s="14">
        <v>40</v>
      </c>
    </row>
    <row r="3" spans="1:35" s="3" customFormat="1" ht="22.5" customHeight="1" x14ac:dyDescent="0.15">
      <c r="A3" s="159" t="s">
        <v>18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H3" s="36"/>
    </row>
    <row r="4" spans="1:35" s="3" customFormat="1" ht="22.5" customHeight="1" x14ac:dyDescent="0.15">
      <c r="A4" s="159" t="s">
        <v>17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</row>
    <row r="5" spans="1:35" s="3" customFormat="1" ht="24.6" customHeight="1" x14ac:dyDescent="0.15">
      <c r="A5" s="159" t="s">
        <v>3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</row>
    <row r="6" spans="1:35" s="3" customFormat="1" ht="24.6" customHeight="1" thickBot="1" x14ac:dyDescent="0.2">
      <c r="A6" s="33"/>
      <c r="B6" s="33"/>
      <c r="C6" s="33"/>
      <c r="D6" s="33"/>
      <c r="E6" s="33"/>
      <c r="F6" s="33"/>
      <c r="G6" s="33"/>
      <c r="H6" s="4"/>
    </row>
    <row r="7" spans="1:35" s="3" customFormat="1" ht="24.75" customHeight="1" thickBot="1" x14ac:dyDescent="0.3">
      <c r="A7" s="2"/>
      <c r="B7" s="6"/>
      <c r="C7" s="7"/>
      <c r="D7" s="7"/>
      <c r="E7" s="156" t="s">
        <v>13</v>
      </c>
      <c r="F7" s="157"/>
      <c r="G7" s="157"/>
      <c r="H7" s="157"/>
      <c r="I7" s="157"/>
      <c r="J7" s="158"/>
      <c r="K7" s="149" t="s">
        <v>29</v>
      </c>
      <c r="L7" s="150"/>
      <c r="M7" s="150"/>
      <c r="N7" s="150"/>
      <c r="O7" s="150"/>
      <c r="P7" s="150"/>
      <c r="Q7" s="151"/>
      <c r="R7" s="149" t="s">
        <v>28</v>
      </c>
      <c r="S7" s="150"/>
      <c r="T7" s="150"/>
      <c r="U7" s="150"/>
      <c r="V7" s="150"/>
      <c r="W7" s="150"/>
      <c r="X7" s="151"/>
      <c r="Y7" s="149" t="s">
        <v>30</v>
      </c>
      <c r="Z7" s="150"/>
      <c r="AA7" s="150"/>
      <c r="AB7" s="150"/>
      <c r="AC7" s="150"/>
      <c r="AD7" s="150"/>
      <c r="AE7" s="151"/>
    </row>
    <row r="8" spans="1:35" s="8" customFormat="1" ht="30.75" thickBot="1" x14ac:dyDescent="0.25">
      <c r="A8" s="15" t="s">
        <v>4</v>
      </c>
      <c r="B8" s="64" t="s">
        <v>5</v>
      </c>
      <c r="C8" s="65" t="s">
        <v>6</v>
      </c>
      <c r="D8" s="66" t="s">
        <v>0</v>
      </c>
      <c r="E8" s="64" t="s">
        <v>26</v>
      </c>
      <c r="F8" s="65" t="s">
        <v>1</v>
      </c>
      <c r="G8" s="65" t="s">
        <v>7</v>
      </c>
      <c r="H8" s="17" t="s">
        <v>8</v>
      </c>
      <c r="I8" s="17" t="s">
        <v>9</v>
      </c>
      <c r="J8" s="18" t="s">
        <v>10</v>
      </c>
      <c r="K8" s="64" t="s">
        <v>14</v>
      </c>
      <c r="L8" s="64" t="s">
        <v>31</v>
      </c>
      <c r="M8" s="65" t="s">
        <v>1</v>
      </c>
      <c r="N8" s="65" t="s">
        <v>15</v>
      </c>
      <c r="O8" s="65" t="s">
        <v>8</v>
      </c>
      <c r="P8" s="65" t="s">
        <v>9</v>
      </c>
      <c r="Q8" s="66" t="s">
        <v>10</v>
      </c>
      <c r="R8" s="16" t="s">
        <v>14</v>
      </c>
      <c r="S8" s="16" t="s">
        <v>31</v>
      </c>
      <c r="T8" s="17" t="s">
        <v>1</v>
      </c>
      <c r="U8" s="17" t="s">
        <v>15</v>
      </c>
      <c r="V8" s="17" t="s">
        <v>8</v>
      </c>
      <c r="W8" s="17" t="s">
        <v>9</v>
      </c>
      <c r="X8" s="18" t="s">
        <v>10</v>
      </c>
      <c r="Y8" s="64" t="s">
        <v>14</v>
      </c>
      <c r="Z8" s="64" t="s">
        <v>31</v>
      </c>
      <c r="AA8" s="65" t="s">
        <v>1</v>
      </c>
      <c r="AB8" s="65" t="s">
        <v>15</v>
      </c>
      <c r="AC8" s="65" t="s">
        <v>8</v>
      </c>
      <c r="AD8" s="65" t="s">
        <v>9</v>
      </c>
      <c r="AE8" s="66" t="s">
        <v>10</v>
      </c>
    </row>
    <row r="9" spans="1:35" s="3" customFormat="1" ht="35.1" customHeight="1" x14ac:dyDescent="0.15">
      <c r="A9" s="62" t="s">
        <v>19</v>
      </c>
      <c r="B9" s="68" t="s">
        <v>22</v>
      </c>
      <c r="C9" s="70">
        <v>20000</v>
      </c>
      <c r="D9" s="79">
        <v>59</v>
      </c>
      <c r="E9" s="23">
        <v>17450</v>
      </c>
      <c r="F9" s="24">
        <f>$AI$2*(MIN(E$9:E$12)/E9)</f>
        <v>23.360916905444128</v>
      </c>
      <c r="G9" s="56">
        <f>D9+F9</f>
        <v>82.360916905444128</v>
      </c>
      <c r="H9" s="82"/>
      <c r="I9" s="37">
        <f>+$C9/$C$17*H9</f>
        <v>0</v>
      </c>
      <c r="J9" s="103">
        <f t="shared" ref="J9:J16" si="0">+G9*I9</f>
        <v>0</v>
      </c>
      <c r="K9" s="108">
        <v>0.17</v>
      </c>
      <c r="L9" s="109">
        <f>+$E9*(1-K9)</f>
        <v>14483.5</v>
      </c>
      <c r="M9" s="110">
        <f>$AI$2*(MIN(L$9:L$12)/L9)</f>
        <v>28.145683018607382</v>
      </c>
      <c r="N9" s="111">
        <f>$D9+M9</f>
        <v>87.145683018607386</v>
      </c>
      <c r="O9" s="112">
        <v>1</v>
      </c>
      <c r="P9" s="113">
        <f>+$C9/$C$17*O9</f>
        <v>0.70921985815602839</v>
      </c>
      <c r="Q9" s="114">
        <f>+N9*P9</f>
        <v>61.805448949366941</v>
      </c>
      <c r="R9" s="48"/>
      <c r="S9" s="49">
        <f>+$E9*(1-R9)</f>
        <v>17450</v>
      </c>
      <c r="T9" s="24">
        <f>$AI$2*(2-S9/MIN(S$9:S$12))</f>
        <v>11.509537640317138</v>
      </c>
      <c r="U9" s="56">
        <f>$D9+T9</f>
        <v>70.509537640317134</v>
      </c>
      <c r="V9" s="82"/>
      <c r="W9" s="37">
        <f>+$C9/$C$17*V9</f>
        <v>0</v>
      </c>
      <c r="X9" s="38">
        <f>+U9*W9</f>
        <v>0</v>
      </c>
      <c r="Y9" s="48"/>
      <c r="Z9" s="49">
        <f>+$E9*(1-Y9)</f>
        <v>17450</v>
      </c>
      <c r="AA9" s="24">
        <f>$AI$2*(2-Z9/MIN(Z$9:Z$12))</f>
        <v>10.111773102364428</v>
      </c>
      <c r="AB9" s="56">
        <f>$D9+AA9</f>
        <v>69.111773102364424</v>
      </c>
      <c r="AC9" s="82"/>
      <c r="AD9" s="37">
        <f>+$C9/$C$17*AC9</f>
        <v>0</v>
      </c>
      <c r="AE9" s="38">
        <f>+AB9*AD9</f>
        <v>0</v>
      </c>
    </row>
    <row r="10" spans="1:35" s="3" customFormat="1" ht="35.1" customHeight="1" x14ac:dyDescent="0.15">
      <c r="A10" s="160" t="s">
        <v>20</v>
      </c>
      <c r="B10" s="69" t="s">
        <v>23</v>
      </c>
      <c r="C10" s="71">
        <v>20000</v>
      </c>
      <c r="D10" s="80">
        <v>59</v>
      </c>
      <c r="E10" s="85">
        <v>14800</v>
      </c>
      <c r="F10" s="86">
        <f>$AI$2*(MIN(E$9:E$12)/E10)</f>
        <v>27.543783783783784</v>
      </c>
      <c r="G10" s="87">
        <f>D10+F10</f>
        <v>86.54378378378378</v>
      </c>
      <c r="H10" s="88">
        <v>1</v>
      </c>
      <c r="I10" s="89">
        <f>+$C10/$C$17*H10</f>
        <v>0.70921985815602839</v>
      </c>
      <c r="J10" s="104">
        <f t="shared" si="0"/>
        <v>61.378570059421122</v>
      </c>
      <c r="K10" s="50"/>
      <c r="L10" s="51">
        <f t="shared" ref="L10:L12" si="1">+$E10*(1-K10)</f>
        <v>14800</v>
      </c>
      <c r="M10" s="32">
        <f t="shared" ref="M10:M12" si="2">$AI$2*(MIN(L$9:L$12)/L10)</f>
        <v>27.543783783783784</v>
      </c>
      <c r="N10" s="84">
        <f t="shared" ref="N10:N12" si="3">$D10+M10</f>
        <v>86.54378378378378</v>
      </c>
      <c r="O10" s="161"/>
      <c r="P10" s="39">
        <f>+$C10/$C$17*O10</f>
        <v>0</v>
      </c>
      <c r="Q10" s="40">
        <f t="shared" ref="Q10:Q16" si="4">+N10*P10</f>
        <v>0</v>
      </c>
      <c r="R10" s="131">
        <v>0.26</v>
      </c>
      <c r="S10" s="59">
        <f t="shared" ref="S10:S11" si="5">+$E10*(1-R10)</f>
        <v>10952</v>
      </c>
      <c r="T10" s="25">
        <f>$AI$2*(2-S10/MIN(S$9:S$12))</f>
        <v>37.013894340215089</v>
      </c>
      <c r="U10" s="57">
        <f t="shared" ref="U10" si="6">$D10+T10</f>
        <v>96.013894340215089</v>
      </c>
      <c r="V10" s="137">
        <v>1</v>
      </c>
      <c r="W10" s="123">
        <f>+$C10/$C$17*V10</f>
        <v>0.70921985815602839</v>
      </c>
      <c r="X10" s="124">
        <f t="shared" ref="X10" si="7">+U10*W10</f>
        <v>68.094960524975249</v>
      </c>
      <c r="Y10" s="50"/>
      <c r="Z10" s="51">
        <f t="shared" ref="Z10:Z16" si="8">+$E10*(1-Y10)</f>
        <v>14800</v>
      </c>
      <c r="AA10" s="32">
        <f>$AI$2*(2-Z10/MIN(Z$9:Z$12))</f>
        <v>20.725171456446621</v>
      </c>
      <c r="AB10" s="84">
        <f t="shared" ref="AB10:AB16" si="9">$D10+AA10</f>
        <v>79.725171456446617</v>
      </c>
      <c r="AC10" s="107"/>
      <c r="AD10" s="39">
        <f t="shared" ref="AD10:AD12" si="10">+$C10/$C$17*AC10</f>
        <v>0</v>
      </c>
      <c r="AE10" s="40">
        <f t="shared" ref="AE10:AE11" si="11">+AB10*AD10</f>
        <v>0</v>
      </c>
    </row>
    <row r="11" spans="1:35" s="3" customFormat="1" ht="35.1" customHeight="1" x14ac:dyDescent="0.15">
      <c r="A11" s="160"/>
      <c r="B11" s="69" t="s">
        <v>24</v>
      </c>
      <c r="C11" s="71">
        <v>20000</v>
      </c>
      <c r="D11" s="80">
        <v>30</v>
      </c>
      <c r="E11" s="31">
        <v>10191.200000000001</v>
      </c>
      <c r="F11" s="32">
        <f>$AI$2*(MIN(E$9:E$12)/E11)</f>
        <v>40</v>
      </c>
      <c r="G11" s="84">
        <f>D11+F11</f>
        <v>70</v>
      </c>
      <c r="H11" s="83"/>
      <c r="I11" s="39"/>
      <c r="J11" s="105"/>
      <c r="K11" s="50"/>
      <c r="L11" s="51">
        <f t="shared" si="1"/>
        <v>10191.200000000001</v>
      </c>
      <c r="M11" s="32">
        <f t="shared" si="2"/>
        <v>40</v>
      </c>
      <c r="N11" s="84">
        <f t="shared" si="3"/>
        <v>70</v>
      </c>
      <c r="O11" s="161"/>
      <c r="P11" s="39"/>
      <c r="Q11" s="40" t="s">
        <v>27</v>
      </c>
      <c r="R11" s="50"/>
      <c r="S11" s="51">
        <f t="shared" si="5"/>
        <v>10191.200000000001</v>
      </c>
      <c r="T11" s="32">
        <f>$AI$2*(2-S11/MIN(S$9:S$12))</f>
        <v>40</v>
      </c>
      <c r="U11" s="84">
        <f t="shared" ref="U11" si="12">$D11+T11</f>
        <v>70</v>
      </c>
      <c r="V11" s="161"/>
      <c r="W11" s="39"/>
      <c r="X11" s="40"/>
      <c r="Y11" s="119">
        <v>0.02</v>
      </c>
      <c r="Z11" s="116">
        <f t="shared" ref="Z11" si="13">+$E11*(1-Y11)</f>
        <v>9987.3760000000002</v>
      </c>
      <c r="AA11" s="86">
        <f>$AI$2*(2-Z11/MIN(Z$9:Z$12))</f>
        <v>40</v>
      </c>
      <c r="AB11" s="87">
        <f t="shared" ref="AB11" si="14">$D11+AA11</f>
        <v>70</v>
      </c>
      <c r="AC11" s="165">
        <v>1</v>
      </c>
      <c r="AD11" s="89">
        <f t="shared" si="10"/>
        <v>0.70921985815602839</v>
      </c>
      <c r="AE11" s="90">
        <f t="shared" si="11"/>
        <v>49.645390070921991</v>
      </c>
    </row>
    <row r="12" spans="1:35" s="3" customFormat="1" ht="35.1" customHeight="1" thickBot="1" x14ac:dyDescent="0.2">
      <c r="A12" s="63"/>
      <c r="B12" s="78" t="s">
        <v>25</v>
      </c>
      <c r="C12" s="72">
        <v>20000</v>
      </c>
      <c r="D12" s="81">
        <v>58</v>
      </c>
      <c r="E12" s="34">
        <v>16000</v>
      </c>
      <c r="F12" s="35">
        <f>$AI$2*(MIN(E$9:E$12)/E12)</f>
        <v>25.478000000000002</v>
      </c>
      <c r="G12" s="92">
        <f>D12+F12</f>
        <v>83.478000000000009</v>
      </c>
      <c r="H12" s="98"/>
      <c r="I12" s="99">
        <f>+$C12/$C$17*H12</f>
        <v>0</v>
      </c>
      <c r="J12" s="106">
        <f t="shared" si="0"/>
        <v>0</v>
      </c>
      <c r="K12" s="129"/>
      <c r="L12" s="118">
        <f t="shared" si="1"/>
        <v>16000</v>
      </c>
      <c r="M12" s="35">
        <f t="shared" si="2"/>
        <v>25.478000000000002</v>
      </c>
      <c r="N12" s="92">
        <f t="shared" si="3"/>
        <v>83.478000000000009</v>
      </c>
      <c r="O12" s="163"/>
      <c r="P12" s="99">
        <f>+$C12/$C$17*O12</f>
        <v>0</v>
      </c>
      <c r="Q12" s="100">
        <f t="shared" si="4"/>
        <v>0</v>
      </c>
      <c r="R12" s="50"/>
      <c r="S12" s="51">
        <f t="shared" ref="S12:S14" si="15">+$E12*(1-R12)</f>
        <v>16000</v>
      </c>
      <c r="T12" s="32">
        <f>$AI$2*(2-S12/MIN(S$9:S$12))</f>
        <v>17.200722191694801</v>
      </c>
      <c r="U12" s="84">
        <f t="shared" ref="U12:U13" si="16">$D12+T12</f>
        <v>75.200722191694808</v>
      </c>
      <c r="V12" s="161"/>
      <c r="W12" s="39">
        <f>+$C12/$C$17*V12</f>
        <v>0</v>
      </c>
      <c r="X12" s="40">
        <f t="shared" ref="X12:X14" si="17">+U12*W12</f>
        <v>0</v>
      </c>
      <c r="Y12" s="47"/>
      <c r="Z12" s="52">
        <f t="shared" si="8"/>
        <v>16000</v>
      </c>
      <c r="AA12" s="29">
        <f>$AI$2*(2-Z12/MIN(Z$9:Z$12))</f>
        <v>15.919104277239589</v>
      </c>
      <c r="AB12" s="58">
        <f t="shared" si="9"/>
        <v>73.919104277239583</v>
      </c>
      <c r="AC12" s="166"/>
      <c r="AD12" s="41">
        <f t="shared" si="10"/>
        <v>0</v>
      </c>
      <c r="AE12" s="42">
        <f t="shared" ref="AE12:AE16" si="18">+AB12*AD12</f>
        <v>0</v>
      </c>
    </row>
    <row r="13" spans="1:35" s="3" customFormat="1" ht="35.1" customHeight="1" x14ac:dyDescent="0.15">
      <c r="A13" s="19" t="s">
        <v>21</v>
      </c>
      <c r="B13" s="68" t="s">
        <v>22</v>
      </c>
      <c r="C13" s="67">
        <v>8200</v>
      </c>
      <c r="D13" s="79">
        <v>59</v>
      </c>
      <c r="E13" s="23">
        <v>6920</v>
      </c>
      <c r="F13" s="24">
        <f>$AI$2*(MIN(E$13:E$16)/E13)</f>
        <v>26.47861271676301</v>
      </c>
      <c r="G13" s="93">
        <f t="shared" ref="G13:G16" si="19">D13+F13</f>
        <v>85.47861271676301</v>
      </c>
      <c r="H13" s="45"/>
      <c r="I13" s="37">
        <f>+$C13/$C$17*H13</f>
        <v>0</v>
      </c>
      <c r="J13" s="103">
        <f t="shared" si="0"/>
        <v>0</v>
      </c>
      <c r="K13" s="108">
        <v>0.17</v>
      </c>
      <c r="L13" s="109">
        <f t="shared" ref="L13:L16" si="20">+$E13*(1-K13)</f>
        <v>5743.5999999999995</v>
      </c>
      <c r="M13" s="110">
        <f>$AI$2*(MIN(L$13:L$16)/L13)</f>
        <v>31.901943032244588</v>
      </c>
      <c r="N13" s="111">
        <f t="shared" ref="N13:N16" si="21">$D13+M13</f>
        <v>90.901943032244588</v>
      </c>
      <c r="O13" s="164">
        <v>1</v>
      </c>
      <c r="P13" s="113">
        <f>+$C13/$C$17*O13</f>
        <v>0.29078014184397161</v>
      </c>
      <c r="Q13" s="114">
        <f t="shared" si="4"/>
        <v>26.432479888808707</v>
      </c>
      <c r="R13" s="48"/>
      <c r="S13" s="49">
        <f t="shared" si="15"/>
        <v>6920</v>
      </c>
      <c r="T13" s="115">
        <f>$AI$2*(2-S13/MIN(S$13:S$16))</f>
        <v>18.356286411658857</v>
      </c>
      <c r="U13" s="132">
        <f t="shared" si="16"/>
        <v>77.356286411658857</v>
      </c>
      <c r="V13" s="162"/>
      <c r="W13" s="37">
        <f>+$C13/$C$17*V13</f>
        <v>0</v>
      </c>
      <c r="X13" s="103">
        <f t="shared" si="17"/>
        <v>0</v>
      </c>
      <c r="Y13" s="76"/>
      <c r="Z13" s="77">
        <f t="shared" si="8"/>
        <v>6920</v>
      </c>
      <c r="AA13" s="73">
        <f>$AI$2*(2-Z13/MIN(Z$13:Z$16))</f>
        <v>18.340687305309835</v>
      </c>
      <c r="AB13" s="133">
        <f t="shared" si="9"/>
        <v>77.340687305309842</v>
      </c>
      <c r="AC13" s="167"/>
      <c r="AD13" s="74">
        <f>+$C13/$C$17*AC13</f>
        <v>0</v>
      </c>
      <c r="AE13" s="75">
        <f t="shared" si="18"/>
        <v>0</v>
      </c>
    </row>
    <row r="14" spans="1:35" s="3" customFormat="1" ht="35.1" customHeight="1" x14ac:dyDescent="0.15">
      <c r="A14" s="20"/>
      <c r="B14" s="69" t="s">
        <v>23</v>
      </c>
      <c r="C14" s="67">
        <v>8200</v>
      </c>
      <c r="D14" s="80">
        <v>59</v>
      </c>
      <c r="E14" s="85">
        <v>6068</v>
      </c>
      <c r="F14" s="86">
        <f t="shared" ref="F14:F16" si="22">$AI$2*(MIN(E$13:E$16)/E14)</f>
        <v>30.196440342781806</v>
      </c>
      <c r="G14" s="101">
        <f t="shared" si="19"/>
        <v>89.196440342781813</v>
      </c>
      <c r="H14" s="102">
        <v>1</v>
      </c>
      <c r="I14" s="89">
        <f>+$C14/$C$17*H14</f>
        <v>0.29078014184397161</v>
      </c>
      <c r="J14" s="104">
        <f t="shared" si="0"/>
        <v>25.936553574851448</v>
      </c>
      <c r="K14" s="50"/>
      <c r="L14" s="51">
        <f t="shared" ref="L14:L15" si="23">+$E14*(1-K14)</f>
        <v>6068</v>
      </c>
      <c r="M14" s="32">
        <f t="shared" ref="M14:M15" si="24">$AI$2*(MIN(L$13:L$16)/L14)</f>
        <v>30.196440342781806</v>
      </c>
      <c r="N14" s="84">
        <f t="shared" ref="N14:N15" si="25">$D14+M14</f>
        <v>89.196440342781813</v>
      </c>
      <c r="O14" s="107"/>
      <c r="P14" s="39">
        <f t="shared" ref="P14:P15" si="26">+$C14/$C$17*O14</f>
        <v>0</v>
      </c>
      <c r="Q14" s="40">
        <f t="shared" ref="Q14:Q15" si="27">+N14*P14</f>
        <v>0</v>
      </c>
      <c r="R14" s="125">
        <v>0.26</v>
      </c>
      <c r="S14" s="126">
        <f t="shared" si="15"/>
        <v>4490.32</v>
      </c>
      <c r="T14" s="25">
        <f>$AI$2*(2-S14/MIN(S$13:S$16))</f>
        <v>40</v>
      </c>
      <c r="U14" s="57">
        <f t="shared" ref="U14" si="28">$D14+T14</f>
        <v>99</v>
      </c>
      <c r="V14" s="138">
        <v>1</v>
      </c>
      <c r="W14" s="127">
        <f>+$C14/$C$17*V14</f>
        <v>0.29078014184397161</v>
      </c>
      <c r="X14" s="128">
        <f t="shared" si="17"/>
        <v>28.787234042553187</v>
      </c>
      <c r="Y14" s="50"/>
      <c r="Z14" s="51">
        <f t="shared" ref="Z14" si="29">+$E14*(1-Y14)</f>
        <v>6068</v>
      </c>
      <c r="AA14" s="32">
        <f>$AI$2*(2-Z14/MIN(Z$13:Z$16))</f>
        <v>25.932267423210995</v>
      </c>
      <c r="AB14" s="84">
        <f t="shared" ref="AB14" si="30">$D14+AA14</f>
        <v>84.932267423210988</v>
      </c>
      <c r="AC14" s="161"/>
      <c r="AD14" s="39">
        <f>+$C14/$C$17*AC14</f>
        <v>0</v>
      </c>
      <c r="AE14" s="40"/>
    </row>
    <row r="15" spans="1:35" s="3" customFormat="1" ht="49.5" customHeight="1" x14ac:dyDescent="0.15">
      <c r="A15" s="20" t="s">
        <v>20</v>
      </c>
      <c r="B15" s="69" t="s">
        <v>24</v>
      </c>
      <c r="C15" s="67">
        <v>8200</v>
      </c>
      <c r="D15" s="80">
        <v>30</v>
      </c>
      <c r="E15" s="31">
        <v>4580.8</v>
      </c>
      <c r="F15" s="32">
        <f t="shared" si="22"/>
        <v>40</v>
      </c>
      <c r="G15" s="94">
        <f t="shared" si="19"/>
        <v>70</v>
      </c>
      <c r="H15" s="46"/>
      <c r="I15" s="39">
        <f>+$C15/$C$17*H15</f>
        <v>0</v>
      </c>
      <c r="J15" s="105">
        <f t="shared" si="0"/>
        <v>0</v>
      </c>
      <c r="K15" s="50"/>
      <c r="L15" s="51">
        <f t="shared" si="23"/>
        <v>4580.8</v>
      </c>
      <c r="M15" s="32">
        <f t="shared" si="24"/>
        <v>40</v>
      </c>
      <c r="N15" s="84">
        <f t="shared" si="25"/>
        <v>70</v>
      </c>
      <c r="O15" s="107"/>
      <c r="P15" s="39">
        <f t="shared" si="26"/>
        <v>0</v>
      </c>
      <c r="Q15" s="40">
        <f t="shared" si="27"/>
        <v>0</v>
      </c>
      <c r="R15" s="50"/>
      <c r="S15" s="51">
        <f t="shared" ref="S15:S16" si="31">+$E15*(1-R15)</f>
        <v>4580.8</v>
      </c>
      <c r="T15" s="32">
        <f>$AI$2*(2-S15/MIN(S$13:S$16))</f>
        <v>39.193999536781341</v>
      </c>
      <c r="U15" s="84">
        <f t="shared" ref="U15:U16" si="32">$D15+T15</f>
        <v>69.193999536781348</v>
      </c>
      <c r="V15" s="107"/>
      <c r="W15" s="39">
        <f>+$C15/$C$17*V15</f>
        <v>0</v>
      </c>
      <c r="X15" s="105">
        <f t="shared" ref="X15:X16" si="33">+U15*W15</f>
        <v>0</v>
      </c>
      <c r="Y15" s="119">
        <v>0.02</v>
      </c>
      <c r="Z15" s="116">
        <f t="shared" si="8"/>
        <v>4489.1840000000002</v>
      </c>
      <c r="AA15" s="86">
        <f>$AI$2*(2-Z15/MIN(Z$13:Z$16))</f>
        <v>40</v>
      </c>
      <c r="AB15" s="87">
        <f t="shared" si="9"/>
        <v>70</v>
      </c>
      <c r="AC15" s="165">
        <v>1</v>
      </c>
      <c r="AD15" s="89">
        <f>+$C15/$C$17*AC15</f>
        <v>0.29078014184397161</v>
      </c>
      <c r="AE15" s="90">
        <f t="shared" si="18"/>
        <v>20.354609929078013</v>
      </c>
    </row>
    <row r="16" spans="1:35" s="3" customFormat="1" ht="35.1" customHeight="1" thickBot="1" x14ac:dyDescent="0.2">
      <c r="A16" s="21"/>
      <c r="B16" s="69" t="s">
        <v>25</v>
      </c>
      <c r="C16" s="26">
        <v>8200</v>
      </c>
      <c r="D16" s="81">
        <v>58</v>
      </c>
      <c r="E16" s="28">
        <v>6500</v>
      </c>
      <c r="F16" s="29">
        <f t="shared" si="22"/>
        <v>28.189538461538461</v>
      </c>
      <c r="G16" s="95">
        <f t="shared" si="19"/>
        <v>86.189538461538461</v>
      </c>
      <c r="H16" s="53"/>
      <c r="I16" s="41">
        <f>+$C16/$C$17*H16</f>
        <v>0</v>
      </c>
      <c r="J16" s="117">
        <f t="shared" si="0"/>
        <v>0</v>
      </c>
      <c r="K16" s="47"/>
      <c r="L16" s="52">
        <f t="shared" si="20"/>
        <v>6500</v>
      </c>
      <c r="M16" s="29">
        <f>$AI$2*(MIN(L$13:L$16)/L16)</f>
        <v>28.189538461538461</v>
      </c>
      <c r="N16" s="58">
        <f t="shared" si="21"/>
        <v>86.189538461538461</v>
      </c>
      <c r="O16" s="91"/>
      <c r="P16" s="41">
        <f>+$C16/$C$17*O16</f>
        <v>0</v>
      </c>
      <c r="Q16" s="42">
        <f t="shared" si="4"/>
        <v>0</v>
      </c>
      <c r="R16" s="47"/>
      <c r="S16" s="52">
        <f t="shared" si="31"/>
        <v>6500</v>
      </c>
      <c r="T16" s="29">
        <f>$AI$2*(2-S16/MIN(S$13:S$16))</f>
        <v>22.09766787222291</v>
      </c>
      <c r="U16" s="58">
        <f t="shared" si="32"/>
        <v>80.097667872222914</v>
      </c>
      <c r="V16" s="91"/>
      <c r="W16" s="41">
        <f>+$C16/$C$17*V16</f>
        <v>0</v>
      </c>
      <c r="X16" s="117">
        <f t="shared" si="33"/>
        <v>0</v>
      </c>
      <c r="Y16" s="47"/>
      <c r="Z16" s="52">
        <f t="shared" si="8"/>
        <v>6500</v>
      </c>
      <c r="AA16" s="29">
        <f>$AI$2*(2-Z16/MIN(Z$13:Z$16))</f>
        <v>22.083015532444207</v>
      </c>
      <c r="AB16" s="58">
        <f t="shared" si="9"/>
        <v>80.083015532444207</v>
      </c>
      <c r="AC16" s="91"/>
      <c r="AD16" s="41">
        <f>+$C16/$C$17*AC16</f>
        <v>0</v>
      </c>
      <c r="AE16" s="42">
        <f t="shared" si="18"/>
        <v>0</v>
      </c>
    </row>
    <row r="17" spans="1:31" ht="42.75" customHeight="1" thickBot="1" x14ac:dyDescent="0.25">
      <c r="B17" s="43" t="s">
        <v>11</v>
      </c>
      <c r="C17" s="44">
        <f>C9+C13</f>
        <v>28200</v>
      </c>
      <c r="I17" s="54" t="s">
        <v>12</v>
      </c>
      <c r="J17" s="55">
        <f>SUM(J9:J16)</f>
        <v>87.315123634272567</v>
      </c>
      <c r="P17" s="54" t="s">
        <v>12</v>
      </c>
      <c r="Q17" s="55">
        <f>SUM(Q9:Q16)</f>
        <v>88.237928838175648</v>
      </c>
      <c r="W17" s="120" t="s">
        <v>12</v>
      </c>
      <c r="X17" s="121">
        <f>SUM(X9:X16)</f>
        <v>96.882194567528444</v>
      </c>
      <c r="AD17" s="54" t="s">
        <v>12</v>
      </c>
      <c r="AE17" s="55">
        <f>SUM(AE9:AE16)</f>
        <v>70</v>
      </c>
    </row>
    <row r="20" spans="1:31" ht="14.25" x14ac:dyDescent="0.2">
      <c r="A20" s="1" t="s">
        <v>2</v>
      </c>
    </row>
    <row r="21" spans="1:31" ht="14.25" x14ac:dyDescent="0.2">
      <c r="A21" s="1" t="s">
        <v>32</v>
      </c>
    </row>
    <row r="23" spans="1:31" ht="56.25" customHeight="1" x14ac:dyDescent="0.2">
      <c r="A23" s="155"/>
      <c r="B23" s="155"/>
      <c r="C23" s="155"/>
      <c r="D23" s="155"/>
      <c r="E23" s="155"/>
      <c r="F23" s="155"/>
      <c r="G23" s="155"/>
    </row>
  </sheetData>
  <mergeCells count="9">
    <mergeCell ref="A23:G23"/>
    <mergeCell ref="E7:J7"/>
    <mergeCell ref="K7:Q7"/>
    <mergeCell ref="Y7:AE7"/>
    <mergeCell ref="A3:AE3"/>
    <mergeCell ref="A4:AE4"/>
    <mergeCell ref="A5:AE5"/>
    <mergeCell ref="R7:X7"/>
    <mergeCell ref="A10:A1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CARMEN MARIA RAMIREZ MARQUEZ</cp:lastModifiedBy>
  <cp:lastPrinted>2021-11-19T11:28:43Z</cp:lastPrinted>
  <dcterms:created xsi:type="dcterms:W3CDTF">2007-03-30T09:59:06Z</dcterms:created>
  <dcterms:modified xsi:type="dcterms:W3CDTF">2025-05-14T09:39:15Z</dcterms:modified>
</cp:coreProperties>
</file>