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1.- EXPEDIENTES\S-01382-2025 (M) Monitorado de audio y vídeo nuevas cabinas P.Rey\"/>
    </mc:Choice>
  </mc:AlternateContent>
  <xr:revisionPtr revIDLastSave="0" documentId="13_ncr:1_{0AD1B519-786D-45A4-9389-F189205AE694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valoración" sheetId="5" r:id="rId1"/>
    <sheet name="ALTERNATIVA ADJUDICADA" sheetId="7" r:id="rId2"/>
  </sheets>
  <definedNames>
    <definedName name="_xlnm.Print_Area" localSheetId="1">'ALTERNATIVA ADJUDICADA'!$A$2:$J$31</definedName>
    <definedName name="_xlnm.Print_Area" localSheetId="0">valoración!$A$2:$Q$31</definedName>
  </definedNames>
  <calcPr calcId="191029"/>
</workbook>
</file>

<file path=xl/calcChain.xml><?xml version="1.0" encoding="utf-8"?>
<calcChain xmlns="http://schemas.openxmlformats.org/spreadsheetml/2006/main">
  <c r="K10" i="7" l="1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6" i="7"/>
  <c r="K9" i="7"/>
  <c r="L7" i="7"/>
  <c r="C27" i="7"/>
  <c r="I26" i="7"/>
  <c r="F26" i="7"/>
  <c r="G26" i="7" s="1"/>
  <c r="F24" i="7"/>
  <c r="G24" i="7" s="1"/>
  <c r="I23" i="7"/>
  <c r="F23" i="7"/>
  <c r="G23" i="7" s="1"/>
  <c r="J23" i="7" s="1"/>
  <c r="F22" i="7"/>
  <c r="G22" i="7" s="1"/>
  <c r="F21" i="7"/>
  <c r="G21" i="7" s="1"/>
  <c r="I20" i="7"/>
  <c r="F20" i="7"/>
  <c r="G20" i="7" s="1"/>
  <c r="J20" i="7" s="1"/>
  <c r="I19" i="7"/>
  <c r="F19" i="7"/>
  <c r="G19" i="7" s="1"/>
  <c r="F18" i="7"/>
  <c r="G18" i="7" s="1"/>
  <c r="F17" i="7"/>
  <c r="G17" i="7" s="1"/>
  <c r="I16" i="7"/>
  <c r="F16" i="7"/>
  <c r="G16" i="7" s="1"/>
  <c r="I15" i="7"/>
  <c r="F15" i="7"/>
  <c r="G15" i="7" s="1"/>
  <c r="J15" i="7" s="1"/>
  <c r="I14" i="7"/>
  <c r="F14" i="7"/>
  <c r="G14" i="7" s="1"/>
  <c r="I13" i="7"/>
  <c r="F13" i="7"/>
  <c r="G13" i="7" s="1"/>
  <c r="I12" i="7"/>
  <c r="F12" i="7"/>
  <c r="G12" i="7" s="1"/>
  <c r="I11" i="7"/>
  <c r="F11" i="7"/>
  <c r="G11" i="7" s="1"/>
  <c r="F10" i="7"/>
  <c r="G10" i="7" s="1"/>
  <c r="J10" i="7" s="1"/>
  <c r="I9" i="7"/>
  <c r="F9" i="7"/>
  <c r="G9" i="7" s="1"/>
  <c r="J9" i="7" s="1"/>
  <c r="J14" i="7" l="1"/>
  <c r="J19" i="7"/>
  <c r="J26" i="7"/>
  <c r="P22" i="5"/>
  <c r="Q22" i="5" s="1"/>
  <c r="M26" i="5"/>
  <c r="N21" i="5"/>
  <c r="N22" i="5"/>
  <c r="N23" i="5"/>
  <c r="N24" i="5"/>
  <c r="M21" i="5"/>
  <c r="M22" i="5"/>
  <c r="M23" i="5"/>
  <c r="M24" i="5"/>
  <c r="M20" i="5"/>
  <c r="L22" i="5"/>
  <c r="P19" i="5"/>
  <c r="P17" i="5"/>
  <c r="Q17" i="5" s="1"/>
  <c r="F19" i="5"/>
  <c r="F16" i="5"/>
  <c r="F17" i="5"/>
  <c r="F18" i="5"/>
  <c r="F15" i="5"/>
  <c r="N16" i="5"/>
  <c r="N17" i="5"/>
  <c r="N18" i="5"/>
  <c r="N19" i="5"/>
  <c r="M16" i="5"/>
  <c r="M17" i="5"/>
  <c r="M18" i="5"/>
  <c r="M19" i="5"/>
  <c r="M15" i="5"/>
  <c r="M14" i="5"/>
  <c r="L17" i="5"/>
  <c r="P12" i="5"/>
  <c r="Q12" i="5" s="1"/>
  <c r="N11" i="5"/>
  <c r="N12" i="5"/>
  <c r="N13" i="5"/>
  <c r="M12" i="5"/>
  <c r="M13" i="5"/>
  <c r="M11" i="5"/>
  <c r="L12" i="5"/>
  <c r="J27" i="7" l="1"/>
  <c r="F26" i="5"/>
  <c r="G26" i="5" s="1"/>
  <c r="F21" i="5"/>
  <c r="G21" i="5" s="1"/>
  <c r="F22" i="5"/>
  <c r="G22" i="5" s="1"/>
  <c r="F23" i="5"/>
  <c r="G23" i="5" s="1"/>
  <c r="F24" i="5"/>
  <c r="G24" i="5" s="1"/>
  <c r="F20" i="5"/>
  <c r="G20" i="5" s="1"/>
  <c r="C27" i="5"/>
  <c r="F9" i="5"/>
  <c r="G16" i="5"/>
  <c r="G17" i="5"/>
  <c r="G18" i="5"/>
  <c r="G19" i="5"/>
  <c r="F13" i="5"/>
  <c r="G13" i="5" s="1"/>
  <c r="F12" i="5"/>
  <c r="G12" i="5" s="1"/>
  <c r="F11" i="5"/>
  <c r="G11" i="5" s="1"/>
  <c r="I14" i="5" l="1"/>
  <c r="I23" i="5"/>
  <c r="J23" i="5" s="1"/>
  <c r="I19" i="5"/>
  <c r="F14" i="5"/>
  <c r="L26" i="5" l="1"/>
  <c r="L24" i="5"/>
  <c r="I16" i="5" l="1"/>
  <c r="I12" i="5"/>
  <c r="I11" i="5"/>
  <c r="I13" i="5"/>
  <c r="L15" i="5"/>
  <c r="G15" i="5"/>
  <c r="F10" i="5" l="1"/>
  <c r="G10" i="5" s="1"/>
  <c r="P26" i="5" l="1"/>
  <c r="I20" i="5"/>
  <c r="J20" i="5" s="1"/>
  <c r="I26" i="5"/>
  <c r="J26" i="5" s="1"/>
  <c r="P24" i="5"/>
  <c r="I15" i="5"/>
  <c r="J15" i="5" s="1"/>
  <c r="J19" i="5"/>
  <c r="J10" i="5"/>
  <c r="I9" i="5"/>
  <c r="P14" i="5" l="1"/>
  <c r="L14" i="5"/>
  <c r="G14" i="5"/>
  <c r="J14" i="5" s="1"/>
  <c r="G9" i="5"/>
  <c r="M10" i="5" l="1"/>
  <c r="N10" i="5" s="1"/>
  <c r="N26" i="5"/>
  <c r="Q26" i="5" s="1"/>
  <c r="Q24" i="5"/>
  <c r="N20" i="5"/>
  <c r="Q20" i="5" s="1"/>
  <c r="N15" i="5"/>
  <c r="N14" i="5"/>
  <c r="Q14" i="5" s="1"/>
  <c r="M9" i="5"/>
  <c r="N9" i="5" s="1"/>
  <c r="J9" i="5"/>
  <c r="J27" i="5" l="1"/>
  <c r="Q27" i="5"/>
</calcChain>
</file>

<file path=xl/sharedStrings.xml><?xml version="1.0" encoding="utf-8"?>
<sst xmlns="http://schemas.openxmlformats.org/spreadsheetml/2006/main" count="93" uniqueCount="36">
  <si>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</si>
  <si>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</si>
  <si>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</si>
  <si>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</si>
  <si>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</si>
  <si>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</si>
  <si>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</si>
  <si>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</si>
  <si>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</si>
  <si>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</si>
  <si>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</si>
  <si>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</si>
  <si>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</si>
  <si>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</si>
  <si>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</si>
  <si>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</si>
  <si>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</si>
  <si>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%  Ahorro s/ licitación</t>
  </si>
  <si>
    <t>Importe Oferta</t>
  </si>
  <si>
    <t>EN LAS ALTERNATIVAS SE MARCA EL LICITADOR A ANALIZAR, 
AUNQUE NO SEA LA OFERTA MAS ECONOMICA</t>
  </si>
  <si>
    <t>incluir puntuación económica indicada en los pliegos. Si los lotes se valoran con diferente puntuación económica hay que tenerlo en cuenta en la fórmula.</t>
  </si>
  <si>
    <t>PROPUESTA DE ADJUDICACIÓN DEL EXPEDIENTE S-01382-2025</t>
  </si>
  <si>
    <t>Monitorado de audio y vídeo para las nuevas cabinas de edición de Prado del Rey</t>
  </si>
  <si>
    <t>LOTE 1: 	
Interfaces de captura y repoducción</t>
  </si>
  <si>
    <t>LOTE 3: 	
Monitores de audio</t>
  </si>
  <si>
    <t>LOTE 4: 	
Instalación y puesta en funcionamiento</t>
  </si>
  <si>
    <t>LOTE 2: 	
Monitores de vídeo</t>
  </si>
  <si>
    <t>DATOS MEDIA TECHNOLOGÍES, SA.</t>
  </si>
  <si>
    <t>BROADCAST MEDITEL, SA.</t>
  </si>
  <si>
    <t>PAPYRO SERV. Y PROYECTOS, SL.</t>
  </si>
  <si>
    <t>NRD MULTIMEDIA, SL.</t>
  </si>
  <si>
    <t>BROAD SERVICE TECHNICAL SUPPORT, SL.</t>
  </si>
  <si>
    <t>TRIGITAL INFOGRÁFICA, SL.</t>
  </si>
  <si>
    <t>economica lote 1-2-3-4</t>
  </si>
  <si>
    <t>Alternativa 2: oferta conjunta "NRD MULTIMEDIA" por los lotes 1-2-3 (1,2% de descuento)</t>
  </si>
  <si>
    <t>Madrid, a 14 de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</si>
</sst>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1"/>
      <name val="Tahoma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52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/>
    </xf>
    <xf numFmtId="166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1" xfId="0" applyNumberFormat="1" applyFont="1" applyFill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15" xfId="0" applyNumberFormat="1" applyFont="1" applyFill="1" applyBorder="1" applyAlignment="1">
      <alignment horizontal="center" vertical="center"/>
    </xf>
    <xf numFmtId="164" fontId="5" fillId="0" borderId="16" xfId="2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right" vertical="center" wrapText="1"/>
    </xf>
    <xf numFmtId="166" fontId="16" fillId="0" borderId="17" xfId="0" applyNumberFormat="1" applyFont="1" applyFill="1" applyBorder="1" applyAlignment="1">
      <alignment horizontal="center" vertical="center"/>
    </xf>
    <xf numFmtId="4" fontId="6" fillId="4" borderId="15" xfId="0" applyNumberFormat="1" applyFont="1" applyFill="1" applyBorder="1" applyAlignment="1">
      <alignment horizontal="right" vertical="center" indent="1"/>
    </xf>
    <xf numFmtId="9" fontId="5" fillId="0" borderId="14" xfId="3" applyFont="1" applyFill="1" applyBorder="1" applyAlignment="1">
      <alignment horizontal="center" vertical="center"/>
    </xf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right" vertical="center" indent="1"/>
    </xf>
    <xf numFmtId="0" fontId="15" fillId="0" borderId="20" xfId="0" applyNumberFormat="1" applyFont="1" applyFill="1" applyBorder="1" applyAlignment="1">
      <alignment horizontal="left" vertical="top" wrapText="1"/>
    </xf>
    <xf numFmtId="166" fontId="6" fillId="4" borderId="2" xfId="0" applyNumberFormat="1" applyFont="1" applyFill="1" applyBorder="1" applyAlignment="1">
      <alignment horizontal="right" vertical="center" inden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14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/>
    <xf numFmtId="166" fontId="6" fillId="4" borderId="14" xfId="0" applyNumberFormat="1" applyFont="1" applyFill="1" applyBorder="1" applyAlignment="1">
      <alignment horizontal="right" vertical="center" indent="1"/>
    </xf>
    <xf numFmtId="0" fontId="5" fillId="0" borderId="11" xfId="2" applyNumberFormat="1" applyFont="1" applyFill="1" applyBorder="1" applyAlignment="1">
      <alignment horizontal="center" vertical="center"/>
    </xf>
    <xf numFmtId="0" fontId="5" fillId="0" borderId="10" xfId="2" applyNumberFormat="1" applyFont="1" applyFill="1" applyBorder="1" applyAlignment="1">
      <alignment horizontal="center" vertical="center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14" xfId="2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64" fontId="18" fillId="0" borderId="21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4" fontId="6" fillId="0" borderId="26" xfId="0" applyNumberFormat="1" applyFont="1" applyFill="1" applyBorder="1" applyAlignment="1">
      <alignment horizontal="center" vertical="center"/>
    </xf>
    <xf numFmtId="10" fontId="5" fillId="0" borderId="25" xfId="0" applyNumberFormat="1" applyFont="1" applyFill="1" applyBorder="1" applyAlignment="1">
      <alignment horizontal="center" vertical="center"/>
    </xf>
    <xf numFmtId="164" fontId="5" fillId="0" borderId="26" xfId="2" applyFont="1" applyFill="1" applyBorder="1" applyAlignment="1">
      <alignment horizontal="center" vertical="center"/>
    </xf>
    <xf numFmtId="0" fontId="5" fillId="0" borderId="25" xfId="2" applyNumberFormat="1" applyFont="1" applyFill="1" applyBorder="1" applyAlignment="1">
      <alignment horizontal="center" vertical="center"/>
    </xf>
    <xf numFmtId="4" fontId="6" fillId="0" borderId="25" xfId="0" applyNumberFormat="1" applyFont="1" applyFill="1" applyBorder="1" applyAlignment="1">
      <alignment horizontal="right" vertical="center" indent="1"/>
    </xf>
    <xf numFmtId="0" fontId="11" fillId="0" borderId="0" xfId="0" applyFont="1" applyBorder="1" applyAlignment="1">
      <alignment horizontal="left" vertical="center" wrapText="1"/>
    </xf>
    <xf numFmtId="166" fontId="6" fillId="5" borderId="24" xfId="0" applyNumberFormat="1" applyFont="1" applyFill="1" applyBorder="1" applyAlignment="1">
      <alignment horizontal="right" vertical="center" indent="1"/>
    </xf>
    <xf numFmtId="4" fontId="6" fillId="5" borderId="25" xfId="0" applyNumberFormat="1" applyFont="1" applyFill="1" applyBorder="1" applyAlignment="1">
      <alignment horizontal="right" vertical="center" indent="1"/>
    </xf>
    <xf numFmtId="0" fontId="5" fillId="5" borderId="24" xfId="2" applyNumberFormat="1" applyFont="1" applyFill="1" applyBorder="1" applyAlignment="1">
      <alignment horizontal="center" vertical="center"/>
    </xf>
    <xf numFmtId="10" fontId="5" fillId="5" borderId="25" xfId="0" applyNumberFormat="1" applyFont="1" applyFill="1" applyBorder="1" applyAlignment="1">
      <alignment horizontal="center" vertical="center"/>
    </xf>
    <xf numFmtId="164" fontId="5" fillId="5" borderId="26" xfId="2" applyFont="1" applyFill="1" applyBorder="1" applyAlignment="1">
      <alignment horizontal="center" vertical="center"/>
    </xf>
    <xf numFmtId="9" fontId="5" fillId="5" borderId="24" xfId="3" applyFont="1" applyFill="1" applyBorder="1" applyAlignment="1">
      <alignment horizontal="center" vertical="center"/>
    </xf>
    <xf numFmtId="166" fontId="6" fillId="5" borderId="25" xfId="0" applyNumberFormat="1" applyFont="1" applyFill="1" applyBorder="1" applyAlignment="1">
      <alignment horizontal="right" vertical="center" indent="1"/>
    </xf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1" xfId="0" applyNumberFormat="1" applyFont="1" applyFill="1" applyBorder="1" applyAlignment="1">
      <alignment horizontal="right" vertical="center" indent="1"/>
    </xf>
    <xf numFmtId="0" fontId="11" fillId="0" borderId="0" xfId="0" applyFont="1" applyBorder="1" applyAlignment="1">
      <alignment horizontal="left" vertical="center" wrapText="1"/>
    </xf>
    <xf numFmtId="166" fontId="6" fillId="0" borderId="25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  <xf numFmtId="0" fontId="6" fillId="0" borderId="27" xfId="0" applyNumberFormat="1" applyFont="1" applyFill="1" applyBorder="1" applyAlignment="1">
      <alignment horizontal="left" vertical="center" wrapText="1"/>
    </xf>
    <xf numFmtId="166" fontId="6" fillId="0" borderId="28" xfId="0" applyNumberFormat="1" applyFont="1" applyFill="1" applyBorder="1" applyAlignment="1">
      <alignment horizontal="center" vertical="center"/>
    </xf>
    <xf numFmtId="166" fontId="6" fillId="0" borderId="27" xfId="0" applyNumberFormat="1" applyFont="1" applyFill="1" applyBorder="1" applyAlignment="1">
      <alignment horizontal="right" vertical="center" indent="1"/>
    </xf>
    <xf numFmtId="4" fontId="6" fillId="0" borderId="28" xfId="0" applyNumberFormat="1" applyFont="1" applyFill="1" applyBorder="1" applyAlignment="1">
      <alignment horizontal="right" vertical="center" indent="1"/>
    </xf>
    <xf numFmtId="0" fontId="5" fillId="0" borderId="27" xfId="2" applyNumberFormat="1" applyFont="1" applyFill="1" applyBorder="1" applyAlignment="1">
      <alignment horizontal="center" vertical="center"/>
    </xf>
    <xf numFmtId="10" fontId="5" fillId="0" borderId="28" xfId="0" applyNumberFormat="1" applyFont="1" applyFill="1" applyBorder="1" applyAlignment="1">
      <alignment horizontal="center" vertical="center"/>
    </xf>
    <xf numFmtId="164" fontId="5" fillId="0" borderId="29" xfId="2" applyFont="1" applyFill="1" applyBorder="1" applyAlignment="1">
      <alignment horizontal="center" vertical="center"/>
    </xf>
    <xf numFmtId="0" fontId="6" fillId="0" borderId="28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166" fontId="6" fillId="0" borderId="33" xfId="0" applyNumberFormat="1" applyFont="1" applyFill="1" applyBorder="1" applyAlignment="1">
      <alignment horizontal="right" vertical="center" indent="1"/>
    </xf>
    <xf numFmtId="0" fontId="5" fillId="0" borderId="33" xfId="2" applyNumberFormat="1" applyFont="1" applyFill="1" applyBorder="1" applyAlignment="1">
      <alignment horizontal="center" vertical="center"/>
    </xf>
    <xf numFmtId="10" fontId="5" fillId="0" borderId="31" xfId="0" applyNumberFormat="1" applyFont="1" applyFill="1" applyBorder="1" applyAlignment="1">
      <alignment horizontal="center" vertical="center"/>
    </xf>
    <xf numFmtId="164" fontId="5" fillId="0" borderId="32" xfId="2" applyFont="1" applyFill="1" applyBorder="1" applyAlignment="1">
      <alignment horizontal="center" vertical="center"/>
    </xf>
    <xf numFmtId="9" fontId="5" fillId="0" borderId="33" xfId="3" applyFont="1" applyFill="1" applyBorder="1" applyAlignment="1">
      <alignment horizontal="center" vertical="center"/>
    </xf>
    <xf numFmtId="0" fontId="6" fillId="0" borderId="31" xfId="0" applyNumberFormat="1" applyFont="1" applyFill="1" applyBorder="1" applyAlignment="1">
      <alignment horizontal="center" vertical="center"/>
    </xf>
    <xf numFmtId="166" fontId="6" fillId="5" borderId="14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166" fontId="6" fillId="4" borderId="6" xfId="0" applyNumberFormat="1" applyFont="1" applyFill="1" applyBorder="1" applyAlignment="1">
      <alignment horizontal="right" vertical="center" indent="1"/>
    </xf>
    <xf numFmtId="166" fontId="6" fillId="5" borderId="10" xfId="0" applyNumberFormat="1" applyFont="1" applyFill="1" applyBorder="1" applyAlignment="1">
      <alignment horizontal="right" vertical="center" indent="1"/>
    </xf>
    <xf numFmtId="166" fontId="6" fillId="0" borderId="24" xfId="0" applyNumberFormat="1" applyFont="1" applyFill="1" applyBorder="1" applyAlignment="1">
      <alignment horizontal="right" vertical="center" indent="1"/>
    </xf>
    <xf numFmtId="4" fontId="6" fillId="4" borderId="34" xfId="0" applyNumberFormat="1" applyFont="1" applyFill="1" applyBorder="1" applyAlignment="1">
      <alignment horizontal="right" vertical="center" indent="1"/>
    </xf>
    <xf numFmtId="166" fontId="6" fillId="4" borderId="33" xfId="0" applyNumberFormat="1" applyFont="1" applyFill="1" applyBorder="1" applyAlignment="1">
      <alignment horizontal="right" vertical="center" indent="1"/>
    </xf>
    <xf numFmtId="4" fontId="6" fillId="4" borderId="25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167" fontId="5" fillId="5" borderId="24" xfId="3" applyNumberFormat="1" applyFont="1" applyFill="1" applyBorder="1" applyAlignment="1">
      <alignment horizontal="center" vertical="center"/>
    </xf>
    <xf numFmtId="166" fontId="6" fillId="4" borderId="25" xfId="0" applyNumberFormat="1" applyFont="1" applyFill="1" applyBorder="1" applyAlignment="1">
      <alignment horizontal="right" vertical="center" indent="1"/>
    </xf>
    <xf numFmtId="166" fontId="6" fillId="5" borderId="28" xfId="0" applyNumberFormat="1" applyFont="1" applyFill="1" applyBorder="1" applyAlignment="1">
      <alignment horizontal="right" vertical="center" indent="1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15" xfId="0" applyNumberFormat="1" applyFont="1" applyFill="1" applyBorder="1" applyAlignment="1">
      <alignment horizontal="right" vertical="center" indent="1"/>
    </xf>
    <xf numFmtId="167" fontId="5" fillId="5" borderId="6" xfId="3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left" vertical="center" wrapText="1"/>
    </xf>
    <xf numFmtId="166" fontId="6" fillId="4" borderId="25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0" fontId="5" fillId="4" borderId="6" xfId="2" applyNumberFormat="1" applyFont="1" applyFill="1" applyBorder="1" applyAlignment="1">
      <alignment horizontal="center" vertical="center"/>
    </xf>
    <xf numFmtId="10" fontId="5" fillId="4" borderId="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164" fontId="6" fillId="4" borderId="12" xfId="2" applyFont="1" applyFill="1" applyBorder="1" applyAlignment="1">
      <alignment horizontal="center" vertical="center"/>
    </xf>
    <xf numFmtId="0" fontId="6" fillId="4" borderId="14" xfId="0" applyNumberFormat="1" applyFont="1" applyFill="1" applyBorder="1" applyAlignment="1">
      <alignment horizontal="left" vertical="center" wrapText="1"/>
    </xf>
    <xf numFmtId="166" fontId="6" fillId="4" borderId="28" xfId="0" applyNumberFormat="1" applyFont="1" applyFill="1" applyBorder="1" applyAlignment="1">
      <alignment horizontal="center" vertical="center"/>
    </xf>
    <xf numFmtId="4" fontId="6" fillId="4" borderId="26" xfId="0" applyNumberFormat="1" applyFont="1" applyFill="1" applyBorder="1" applyAlignment="1">
      <alignment horizontal="center" vertical="center"/>
    </xf>
    <xf numFmtId="0" fontId="5" fillId="4" borderId="14" xfId="2" applyNumberFormat="1" applyFont="1" applyFill="1" applyBorder="1" applyAlignment="1">
      <alignment horizontal="center" vertical="center"/>
    </xf>
    <xf numFmtId="10" fontId="5" fillId="4" borderId="15" xfId="0" applyNumberFormat="1" applyFont="1" applyFill="1" applyBorder="1" applyAlignment="1">
      <alignment horizontal="center" vertical="center"/>
    </xf>
    <xf numFmtId="164" fontId="5" fillId="4" borderId="16" xfId="2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left" vertical="center" wrapText="1"/>
    </xf>
    <xf numFmtId="166" fontId="6" fillId="4" borderId="15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center" vertical="center"/>
    </xf>
    <xf numFmtId="164" fontId="6" fillId="0" borderId="26" xfId="2" applyFont="1" applyFill="1" applyBorder="1" applyAlignment="1">
      <alignment horizontal="center" vertical="center"/>
    </xf>
    <xf numFmtId="164" fontId="6" fillId="0" borderId="35" xfId="2" applyFont="1" applyFill="1" applyBorder="1" applyAlignment="1">
      <alignment horizontal="center" vertical="center"/>
    </xf>
    <xf numFmtId="164" fontId="6" fillId="0" borderId="36" xfId="2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8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8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23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3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5AF61F-3AD0-48DD-856F-99E2D73AD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33"/>
  <sheetViews>
    <sheetView showGridLines="0" showZeros="0" topLeftCell="A10" zoomScale="80" zoomScaleNormal="80" workbookViewId="0">
      <selection activeCell="E21" sqref="E21"/>
    </sheetView>
  </sheetViews>
  <sheetFormatPr baseColWidth="10" defaultColWidth="11.44140625" defaultRowHeight="15" x14ac:dyDescent="0.25"/>
  <cols>
    <col min="1" max="1" width="25.33203125" style="9" customWidth="1"/>
    <col min="2" max="2" width="39" style="10" customWidth="1"/>
    <col min="3" max="3" width="22.6640625" style="10" customWidth="1"/>
    <col min="4" max="4" width="14.44140625" style="10" customWidth="1"/>
    <col min="5" max="17" width="16.6640625" style="10" customWidth="1"/>
    <col min="18" max="16384" width="11.44140625" style="10"/>
  </cols>
  <sheetData>
    <row r="1" spans="1:22" x14ac:dyDescent="0.25">
      <c r="S1" s="12"/>
    </row>
    <row r="2" spans="1:22" s="3" customFormat="1" ht="42.6" customHeight="1" x14ac:dyDescent="0.2">
      <c r="A2" s="2"/>
      <c r="D2" s="4"/>
      <c r="E2" s="4"/>
      <c r="F2" s="4"/>
      <c r="G2" s="4"/>
      <c r="H2" s="5"/>
      <c r="M2" s="11"/>
      <c r="S2" s="13" t="s">
        <v>33</v>
      </c>
      <c r="T2" s="63">
        <v>90</v>
      </c>
    </row>
    <row r="3" spans="1:22" s="3" customFormat="1" ht="22.5" customHeight="1" x14ac:dyDescent="0.2">
      <c r="A3" s="150" t="s">
        <v>21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S3" s="31"/>
      <c r="T3" s="62"/>
    </row>
    <row r="4" spans="1:22" s="3" customFormat="1" ht="22.5" customHeight="1" x14ac:dyDescent="0.2">
      <c r="A4" s="150" t="s">
        <v>22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S4" s="84"/>
      <c r="T4" s="85"/>
    </row>
    <row r="5" spans="1:22" s="3" customFormat="1" ht="24.6" customHeight="1" x14ac:dyDescent="0.2">
      <c r="A5" s="150" t="s">
        <v>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</row>
    <row r="6" spans="1:22" s="3" customFormat="1" ht="24.6" customHeight="1" thickBot="1" x14ac:dyDescent="0.25">
      <c r="A6" s="30"/>
      <c r="B6" s="30"/>
      <c r="C6" s="30"/>
      <c r="D6" s="30"/>
      <c r="E6" s="30"/>
      <c r="F6" s="30"/>
      <c r="G6" s="30"/>
      <c r="H6" s="4"/>
      <c r="S6" s="84"/>
      <c r="T6" s="85"/>
    </row>
    <row r="7" spans="1:22" s="3" customFormat="1" ht="24.75" customHeight="1" thickBot="1" x14ac:dyDescent="0.35">
      <c r="A7" s="2"/>
      <c r="B7" s="6"/>
      <c r="C7" s="7"/>
      <c r="D7" s="7"/>
      <c r="E7" s="139" t="s">
        <v>14</v>
      </c>
      <c r="F7" s="140"/>
      <c r="G7" s="140"/>
      <c r="H7" s="140"/>
      <c r="I7" s="140"/>
      <c r="J7" s="141"/>
      <c r="K7" s="142" t="s">
        <v>34</v>
      </c>
      <c r="L7" s="143"/>
      <c r="M7" s="143"/>
      <c r="N7" s="143"/>
      <c r="O7" s="143"/>
      <c r="P7" s="143"/>
      <c r="Q7" s="144"/>
      <c r="S7" s="151" t="s">
        <v>20</v>
      </c>
      <c r="T7" s="151"/>
      <c r="U7" s="151"/>
      <c r="V7" s="151"/>
    </row>
    <row r="8" spans="1:22" s="8" customFormat="1" ht="30.6" thickBot="1" x14ac:dyDescent="0.3">
      <c r="A8" s="14" t="s">
        <v>4</v>
      </c>
      <c r="B8" s="15" t="s">
        <v>5</v>
      </c>
      <c r="C8" s="16" t="s">
        <v>6</v>
      </c>
      <c r="D8" s="17" t="s">
        <v>0</v>
      </c>
      <c r="E8" s="15" t="s">
        <v>18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5" t="s">
        <v>15</v>
      </c>
      <c r="L8" s="15" t="s">
        <v>18</v>
      </c>
      <c r="M8" s="16" t="s">
        <v>1</v>
      </c>
      <c r="N8" s="16" t="s">
        <v>16</v>
      </c>
      <c r="O8" s="16" t="s">
        <v>9</v>
      </c>
      <c r="P8" s="16" t="s">
        <v>10</v>
      </c>
      <c r="Q8" s="17" t="s">
        <v>11</v>
      </c>
      <c r="S8" s="151"/>
      <c r="T8" s="151"/>
      <c r="U8" s="151"/>
      <c r="V8" s="151"/>
    </row>
    <row r="9" spans="1:22" s="3" customFormat="1" ht="35.1" customHeight="1" x14ac:dyDescent="0.2">
      <c r="A9" s="146" t="s">
        <v>23</v>
      </c>
      <c r="B9" s="49" t="s">
        <v>27</v>
      </c>
      <c r="C9" s="18">
        <v>12375</v>
      </c>
      <c r="D9" s="19">
        <v>10</v>
      </c>
      <c r="E9" s="104">
        <v>11011.99</v>
      </c>
      <c r="F9" s="81">
        <f t="shared" ref="F9:F14" si="0">$T$2*(MIN(E$9:E$14)/E9)</f>
        <v>84.310101988832173</v>
      </c>
      <c r="G9" s="81">
        <f>D9+F9</f>
        <v>94.310101988832173</v>
      </c>
      <c r="H9" s="55"/>
      <c r="I9" s="32">
        <f>+$C9/$C$27*H9</f>
        <v>0</v>
      </c>
      <c r="J9" s="33">
        <f t="shared" ref="J9" si="1">+G9*I9</f>
        <v>0</v>
      </c>
      <c r="K9" s="42"/>
      <c r="L9" s="80">
        <v>11011.99</v>
      </c>
      <c r="M9" s="81">
        <f>$T$2*(MIN(L$9:L$14)/L9)</f>
        <v>84.310101988832173</v>
      </c>
      <c r="N9" s="81">
        <f>$D9+M9</f>
        <v>94.310101988832173</v>
      </c>
      <c r="O9" s="54"/>
      <c r="P9" s="32"/>
      <c r="Q9" s="33"/>
      <c r="S9" s="151" t="s">
        <v>8</v>
      </c>
      <c r="T9" s="151"/>
      <c r="U9" s="151"/>
      <c r="V9" s="151"/>
    </row>
    <row r="10" spans="1:22" s="3" customFormat="1" ht="35.1" customHeight="1" x14ac:dyDescent="0.2">
      <c r="A10" s="147"/>
      <c r="B10" s="66" t="s">
        <v>28</v>
      </c>
      <c r="C10" s="83">
        <v>12375</v>
      </c>
      <c r="D10" s="67">
        <v>10</v>
      </c>
      <c r="E10" s="73">
        <v>11627</v>
      </c>
      <c r="F10" s="74">
        <f t="shared" si="0"/>
        <v>79.850520340586556</v>
      </c>
      <c r="G10" s="74">
        <f>D10+F10</f>
        <v>89.850520340586556</v>
      </c>
      <c r="H10" s="75"/>
      <c r="I10" s="76"/>
      <c r="J10" s="77">
        <f t="shared" ref="J10" si="2">+G10*I10</f>
        <v>0</v>
      </c>
      <c r="K10" s="78"/>
      <c r="L10" s="79">
        <v>11627</v>
      </c>
      <c r="M10" s="74">
        <f>$T$2*(MIN(L$9:L$14)/L10)</f>
        <v>79.850520340586556</v>
      </c>
      <c r="N10" s="74">
        <f>$D10+M10</f>
        <v>89.850520340586556</v>
      </c>
      <c r="O10" s="70"/>
      <c r="P10" s="68"/>
      <c r="Q10" s="69"/>
      <c r="S10" s="151"/>
      <c r="T10" s="151"/>
      <c r="U10" s="151"/>
      <c r="V10" s="151"/>
    </row>
    <row r="11" spans="1:22" s="3" customFormat="1" ht="35.1" customHeight="1" x14ac:dyDescent="0.2">
      <c r="A11" s="147"/>
      <c r="B11" s="66" t="s">
        <v>29</v>
      </c>
      <c r="C11" s="26">
        <v>12375</v>
      </c>
      <c r="D11" s="67">
        <v>8</v>
      </c>
      <c r="E11" s="73">
        <v>12300.75</v>
      </c>
      <c r="F11" s="74">
        <f t="shared" si="0"/>
        <v>75.476861167001999</v>
      </c>
      <c r="G11" s="74">
        <f t="shared" ref="G11:G13" si="3">D11+F11</f>
        <v>83.476861167001999</v>
      </c>
      <c r="H11" s="75"/>
      <c r="I11" s="76">
        <f t="shared" ref="I11:I16" si="4">+$C11/$C$27*H11</f>
        <v>0</v>
      </c>
      <c r="J11" s="77"/>
      <c r="K11" s="78"/>
      <c r="L11" s="115">
        <v>12300.75</v>
      </c>
      <c r="M11" s="74">
        <f>$T$2*(MIN(L$9:L$14)/L11)</f>
        <v>75.476861167001999</v>
      </c>
      <c r="N11" s="74">
        <f t="shared" ref="N11:N13" si="5">$D11+M11</f>
        <v>83.476861167001999</v>
      </c>
      <c r="O11" s="70"/>
      <c r="P11" s="68"/>
      <c r="Q11" s="69"/>
      <c r="S11" s="151"/>
      <c r="T11" s="151"/>
      <c r="U11" s="151"/>
      <c r="V11" s="151"/>
    </row>
    <row r="12" spans="1:22" s="3" customFormat="1" ht="35.1" customHeight="1" x14ac:dyDescent="0.2">
      <c r="A12" s="147"/>
      <c r="B12" s="66" t="s">
        <v>30</v>
      </c>
      <c r="C12" s="26">
        <v>12375</v>
      </c>
      <c r="D12" s="67">
        <v>10</v>
      </c>
      <c r="E12" s="73">
        <v>11691.9</v>
      </c>
      <c r="F12" s="74">
        <f t="shared" si="0"/>
        <v>79.407281964436919</v>
      </c>
      <c r="G12" s="74">
        <f t="shared" si="3"/>
        <v>89.407281964436919</v>
      </c>
      <c r="H12" s="75"/>
      <c r="I12" s="76">
        <f t="shared" si="4"/>
        <v>0</v>
      </c>
      <c r="J12" s="77"/>
      <c r="K12" s="112">
        <v>1.2E-2</v>
      </c>
      <c r="L12" s="113">
        <f t="shared" ref="L12" si="6">+$E12*(1-K12)</f>
        <v>11551.5972</v>
      </c>
      <c r="M12" s="108">
        <f t="shared" ref="M12:M13" si="7">$T$2*(MIN(L$9:L$14)/L12)</f>
        <v>80.371742878984719</v>
      </c>
      <c r="N12" s="108">
        <f t="shared" si="5"/>
        <v>90.371742878984719</v>
      </c>
      <c r="O12" s="70">
        <v>1</v>
      </c>
      <c r="P12" s="68">
        <f>+$C12/$C$27*O12</f>
        <v>0.25293817066939195</v>
      </c>
      <c r="Q12" s="69">
        <f>+N12*P12</f>
        <v>22.858463324015045</v>
      </c>
      <c r="S12" s="151"/>
      <c r="T12" s="151"/>
      <c r="U12" s="151"/>
      <c r="V12" s="151"/>
    </row>
    <row r="13" spans="1:22" s="3" customFormat="1" ht="35.1" customHeight="1" x14ac:dyDescent="0.2">
      <c r="A13" s="147"/>
      <c r="B13" s="66" t="s">
        <v>31</v>
      </c>
      <c r="C13" s="83">
        <v>12375</v>
      </c>
      <c r="D13" s="67">
        <v>10</v>
      </c>
      <c r="E13" s="73">
        <v>10395</v>
      </c>
      <c r="F13" s="74">
        <f t="shared" si="0"/>
        <v>89.314285714285717</v>
      </c>
      <c r="G13" s="74">
        <f t="shared" si="3"/>
        <v>99.314285714285717</v>
      </c>
      <c r="H13" s="75"/>
      <c r="I13" s="76">
        <f t="shared" si="4"/>
        <v>0</v>
      </c>
      <c r="J13" s="77"/>
      <c r="K13" s="78"/>
      <c r="L13" s="79">
        <v>10395</v>
      </c>
      <c r="M13" s="74">
        <f t="shared" si="7"/>
        <v>89.314285714285717</v>
      </c>
      <c r="N13" s="74">
        <f t="shared" si="5"/>
        <v>99.314285714285717</v>
      </c>
      <c r="O13" s="70"/>
      <c r="P13" s="68"/>
      <c r="Q13" s="69"/>
      <c r="S13" s="151"/>
      <c r="T13" s="151"/>
      <c r="U13" s="151"/>
      <c r="V13" s="151"/>
    </row>
    <row r="14" spans="1:22" s="3" customFormat="1" ht="35.1" customHeight="1" thickBot="1" x14ac:dyDescent="0.25">
      <c r="A14" s="148"/>
      <c r="B14" s="50" t="s">
        <v>32</v>
      </c>
      <c r="C14" s="83">
        <v>12375</v>
      </c>
      <c r="D14" s="27">
        <v>10</v>
      </c>
      <c r="E14" s="103">
        <v>10315.799999999999</v>
      </c>
      <c r="F14" s="40">
        <f t="shared" si="0"/>
        <v>90</v>
      </c>
      <c r="G14" s="22">
        <f>D14+F14</f>
        <v>100</v>
      </c>
      <c r="H14" s="56">
        <v>1</v>
      </c>
      <c r="I14" s="34">
        <f t="shared" si="4"/>
        <v>0.25293817066939195</v>
      </c>
      <c r="J14" s="35">
        <f>+G14*I14</f>
        <v>25.293817066939194</v>
      </c>
      <c r="K14" s="44"/>
      <c r="L14" s="45">
        <f>+$E14*(1-K14)</f>
        <v>10315.799999999999</v>
      </c>
      <c r="M14" s="117">
        <f>$T$2*(MIN(L$9:L$14)/L14)</f>
        <v>90</v>
      </c>
      <c r="N14" s="29">
        <f>$D14+M14</f>
        <v>100</v>
      </c>
      <c r="O14" s="58"/>
      <c r="P14" s="34">
        <f>+$C14/$C$27*O14</f>
        <v>0</v>
      </c>
      <c r="Q14" s="35">
        <f t="shared" ref="Q14" si="8">+N14*P14</f>
        <v>0</v>
      </c>
      <c r="S14" s="151"/>
      <c r="T14" s="151"/>
      <c r="U14" s="151"/>
      <c r="V14" s="151"/>
    </row>
    <row r="15" spans="1:22" s="3" customFormat="1" ht="35.1" customHeight="1" x14ac:dyDescent="0.2">
      <c r="A15" s="146" t="s">
        <v>26</v>
      </c>
      <c r="B15" s="49" t="s">
        <v>27</v>
      </c>
      <c r="C15" s="18">
        <v>24200</v>
      </c>
      <c r="D15" s="19">
        <v>10</v>
      </c>
      <c r="E15" s="20">
        <v>21879</v>
      </c>
      <c r="F15" s="71">
        <f>$T$2*(MIN(E$15:E$19)/E15)</f>
        <v>89.7814479638009</v>
      </c>
      <c r="G15" s="21">
        <f t="shared" ref="G15:G19" si="9">D15+F15</f>
        <v>99.7814479638009</v>
      </c>
      <c r="H15" s="55"/>
      <c r="I15" s="32">
        <f t="shared" si="4"/>
        <v>0</v>
      </c>
      <c r="J15" s="33">
        <f t="shared" ref="J15:J26" si="10">+G15*I15</f>
        <v>0</v>
      </c>
      <c r="K15" s="42"/>
      <c r="L15" s="80">
        <f t="shared" ref="L15:L26" si="11">+$E15*(1-K15)</f>
        <v>21879</v>
      </c>
      <c r="M15" s="74">
        <f>$T$2*(MIN(L$15:L$19)/L15)</f>
        <v>89.7814479638009</v>
      </c>
      <c r="N15" s="81">
        <f t="shared" ref="N15:N26" si="12">$D15+M15</f>
        <v>99.7814479638009</v>
      </c>
      <c r="O15" s="59"/>
      <c r="P15" s="32"/>
      <c r="Q15" s="33"/>
      <c r="S15" s="84"/>
      <c r="T15" s="85"/>
      <c r="U15" s="65"/>
      <c r="V15" s="65"/>
    </row>
    <row r="16" spans="1:22" s="3" customFormat="1" ht="35.1" customHeight="1" thickBot="1" x14ac:dyDescent="0.25">
      <c r="A16" s="147"/>
      <c r="B16" s="86" t="s">
        <v>28</v>
      </c>
      <c r="C16" s="26">
        <v>24200</v>
      </c>
      <c r="D16" s="27">
        <v>10</v>
      </c>
      <c r="E16" s="88">
        <v>22275</v>
      </c>
      <c r="F16" s="71">
        <f t="shared" ref="F16:F18" si="13">$T$2*(MIN(E$15:E$19)/E16)</f>
        <v>88.185333333333332</v>
      </c>
      <c r="G16" s="102">
        <f t="shared" si="9"/>
        <v>98.185333333333332</v>
      </c>
      <c r="H16" s="90"/>
      <c r="I16" s="91">
        <f t="shared" si="4"/>
        <v>0</v>
      </c>
      <c r="J16" s="92"/>
      <c r="K16" s="44"/>
      <c r="L16" s="114">
        <v>22275</v>
      </c>
      <c r="M16" s="74">
        <f t="shared" ref="M16:M19" si="14">$T$2*(MIN(L$15:L$19)/L16)</f>
        <v>88.185333333333332</v>
      </c>
      <c r="N16" s="116">
        <f t="shared" si="12"/>
        <v>98.185333333333332</v>
      </c>
      <c r="O16" s="93"/>
      <c r="P16" s="91"/>
      <c r="Q16" s="92"/>
      <c r="S16" s="84"/>
      <c r="T16" s="85"/>
      <c r="U16" s="82"/>
      <c r="V16" s="82"/>
    </row>
    <row r="17" spans="1:22" s="3" customFormat="1" ht="35.1" customHeight="1" x14ac:dyDescent="0.2">
      <c r="A17" s="149"/>
      <c r="B17" s="94" t="s">
        <v>30</v>
      </c>
      <c r="C17" s="26">
        <v>24200</v>
      </c>
      <c r="D17" s="27">
        <v>10</v>
      </c>
      <c r="E17" s="28">
        <v>22720.5</v>
      </c>
      <c r="F17" s="71">
        <f t="shared" si="13"/>
        <v>86.456209150326785</v>
      </c>
      <c r="G17" s="102">
        <f t="shared" si="9"/>
        <v>96.456209150326785</v>
      </c>
      <c r="H17" s="56"/>
      <c r="I17" s="34"/>
      <c r="J17" s="35"/>
      <c r="K17" s="112">
        <v>1.2E-2</v>
      </c>
      <c r="L17" s="48">
        <f t="shared" ref="L17" si="15">+$E17*(1-K17)</f>
        <v>22447.853999999999</v>
      </c>
      <c r="M17" s="108">
        <f t="shared" si="14"/>
        <v>87.506284565108089</v>
      </c>
      <c r="N17" s="22">
        <f t="shared" si="12"/>
        <v>97.506284565108089</v>
      </c>
      <c r="O17" s="59">
        <v>1</v>
      </c>
      <c r="P17" s="32">
        <f>+$C17/$C$27*O17</f>
        <v>0.49463464486458864</v>
      </c>
      <c r="Q17" s="33">
        <f t="shared" ref="Q17" si="16">+N17*P17</f>
        <v>48.229986437927757</v>
      </c>
      <c r="S17" s="84"/>
      <c r="T17" s="85"/>
      <c r="U17" s="82"/>
      <c r="V17" s="82"/>
    </row>
    <row r="18" spans="1:22" s="3" customFormat="1" ht="35.1" customHeight="1" x14ac:dyDescent="0.2">
      <c r="A18" s="149"/>
      <c r="B18" s="94" t="s">
        <v>31</v>
      </c>
      <c r="C18" s="26">
        <v>24200</v>
      </c>
      <c r="D18" s="27">
        <v>10</v>
      </c>
      <c r="E18" s="95">
        <v>22600</v>
      </c>
      <c r="F18" s="71">
        <f t="shared" si="13"/>
        <v>86.917181415929193</v>
      </c>
      <c r="G18" s="102">
        <f t="shared" si="9"/>
        <v>96.917181415929193</v>
      </c>
      <c r="H18" s="96"/>
      <c r="I18" s="97"/>
      <c r="J18" s="98"/>
      <c r="K18" s="99"/>
      <c r="L18" s="95">
        <v>22600</v>
      </c>
      <c r="M18" s="74">
        <f t="shared" si="14"/>
        <v>86.917181415929193</v>
      </c>
      <c r="N18" s="116">
        <f t="shared" si="12"/>
        <v>96.917181415929193</v>
      </c>
      <c r="O18" s="100"/>
      <c r="P18" s="97"/>
      <c r="Q18" s="98"/>
      <c r="S18" s="84"/>
      <c r="T18" s="85"/>
      <c r="U18" s="82"/>
      <c r="V18" s="82"/>
    </row>
    <row r="19" spans="1:22" s="3" customFormat="1" ht="35.1" customHeight="1" thickBot="1" x14ac:dyDescent="0.25">
      <c r="A19" s="148"/>
      <c r="B19" s="51" t="s">
        <v>32</v>
      </c>
      <c r="C19" s="87">
        <v>24200</v>
      </c>
      <c r="D19" s="67">
        <v>10</v>
      </c>
      <c r="E19" s="53">
        <v>21825.87</v>
      </c>
      <c r="F19" s="40">
        <f>$T$2*(MIN(E$15:E$19)/E19)</f>
        <v>90</v>
      </c>
      <c r="G19" s="40">
        <f t="shared" si="9"/>
        <v>100</v>
      </c>
      <c r="H19" s="57">
        <v>1</v>
      </c>
      <c r="I19" s="36">
        <f>+$C19/$C$27*H19</f>
        <v>0.49463464486458864</v>
      </c>
      <c r="J19" s="37">
        <f t="shared" si="10"/>
        <v>49.463464486458861</v>
      </c>
      <c r="K19" s="41"/>
      <c r="L19" s="101">
        <v>21825.87</v>
      </c>
      <c r="M19" s="117">
        <f t="shared" si="14"/>
        <v>90</v>
      </c>
      <c r="N19" s="117">
        <f t="shared" si="12"/>
        <v>100</v>
      </c>
      <c r="O19" s="60"/>
      <c r="P19" s="36">
        <f>+$C19/$C$27*O19</f>
        <v>0</v>
      </c>
      <c r="Q19" s="37"/>
      <c r="S19" s="82"/>
      <c r="T19" s="82"/>
      <c r="U19" s="65"/>
      <c r="V19" s="65"/>
    </row>
    <row r="20" spans="1:22" s="3" customFormat="1" ht="35.1" customHeight="1" x14ac:dyDescent="0.2">
      <c r="A20" s="146" t="s">
        <v>24</v>
      </c>
      <c r="B20" s="49" t="s">
        <v>28</v>
      </c>
      <c r="C20" s="18">
        <v>9350</v>
      </c>
      <c r="D20" s="19">
        <v>10</v>
      </c>
      <c r="E20" s="20">
        <v>8470</v>
      </c>
      <c r="F20" s="71">
        <f>$T$2*(MIN(E$20:E$24)/E20)</f>
        <v>78.896103896103895</v>
      </c>
      <c r="G20" s="71">
        <f t="shared" ref="G20:G24" si="17">D20+F20</f>
        <v>88.896103896103895</v>
      </c>
      <c r="H20" s="55"/>
      <c r="I20" s="32">
        <f>+$C20/$C$27*H20</f>
        <v>0</v>
      </c>
      <c r="J20" s="33">
        <f t="shared" si="10"/>
        <v>0</v>
      </c>
      <c r="K20" s="42"/>
      <c r="L20" s="43">
        <v>8470</v>
      </c>
      <c r="M20" s="81">
        <f>$T$2*(MIN(L$20:L$24)/L20)</f>
        <v>78.896103896103895</v>
      </c>
      <c r="N20" s="81">
        <f t="shared" si="12"/>
        <v>88.896103896103895</v>
      </c>
      <c r="O20" s="59"/>
      <c r="P20" s="32"/>
      <c r="Q20" s="33">
        <f t="shared" ref="Q20:Q26" si="18">+N20*P20</f>
        <v>0</v>
      </c>
      <c r="S20" s="84"/>
      <c r="T20" s="85"/>
      <c r="U20" s="72"/>
      <c r="V20" s="72"/>
    </row>
    <row r="21" spans="1:22" s="3" customFormat="1" ht="35.1" customHeight="1" thickBot="1" x14ac:dyDescent="0.25">
      <c r="A21" s="149"/>
      <c r="B21" s="94" t="s">
        <v>29</v>
      </c>
      <c r="C21" s="26">
        <v>9350</v>
      </c>
      <c r="D21" s="27">
        <v>8</v>
      </c>
      <c r="E21" s="88">
        <v>9108</v>
      </c>
      <c r="F21" s="71">
        <f>$T$2*(MIN(E$20:E$24)/E21)</f>
        <v>73.369565217391298</v>
      </c>
      <c r="G21" s="102">
        <f t="shared" si="17"/>
        <v>81.369565217391298</v>
      </c>
      <c r="H21" s="56"/>
      <c r="I21" s="34"/>
      <c r="J21" s="35"/>
      <c r="K21" s="44"/>
      <c r="L21" s="45">
        <v>9108</v>
      </c>
      <c r="M21" s="74">
        <f t="shared" ref="M21:M24" si="19">$T$2*(MIN(L$20:L$24)/L21)</f>
        <v>73.369565217391298</v>
      </c>
      <c r="N21" s="74">
        <f t="shared" si="12"/>
        <v>81.369565217391298</v>
      </c>
      <c r="O21" s="58"/>
      <c r="P21" s="34"/>
      <c r="Q21" s="35"/>
      <c r="S21" s="84"/>
      <c r="T21" s="85"/>
      <c r="U21" s="82"/>
      <c r="V21" s="82"/>
    </row>
    <row r="22" spans="1:22" s="3" customFormat="1" ht="35.1" customHeight="1" x14ac:dyDescent="0.2">
      <c r="A22" s="149"/>
      <c r="B22" s="94" t="s">
        <v>30</v>
      </c>
      <c r="C22" s="83">
        <v>9350</v>
      </c>
      <c r="D22" s="67">
        <v>10</v>
      </c>
      <c r="E22" s="28">
        <v>8865.56</v>
      </c>
      <c r="F22" s="71">
        <f>$T$2*(MIN(E$20:E$24)/E22)</f>
        <v>75.375949178619294</v>
      </c>
      <c r="G22" s="102">
        <f t="shared" si="17"/>
        <v>85.375949178619294</v>
      </c>
      <c r="H22" s="56"/>
      <c r="I22" s="34"/>
      <c r="J22" s="35"/>
      <c r="K22" s="118">
        <v>1.2E-2</v>
      </c>
      <c r="L22" s="48">
        <f t="shared" ref="L22" si="20">+$E22*(1-K22)</f>
        <v>8759.1732799999991</v>
      </c>
      <c r="M22" s="108">
        <f t="shared" si="19"/>
        <v>76.291446537064061</v>
      </c>
      <c r="N22" s="108">
        <f t="shared" si="12"/>
        <v>86.291446537064061</v>
      </c>
      <c r="O22" s="59">
        <v>1</v>
      </c>
      <c r="P22" s="32">
        <f>+$C22/$C$27*O22</f>
        <v>0.19110884006131834</v>
      </c>
      <c r="Q22" s="33">
        <f t="shared" ref="Q22" si="21">+N22*P22</f>
        <v>16.491058254911579</v>
      </c>
      <c r="S22" s="84"/>
      <c r="T22" s="85"/>
      <c r="U22" s="82"/>
      <c r="V22" s="82"/>
    </row>
    <row r="23" spans="1:22" s="3" customFormat="1" ht="35.1" customHeight="1" x14ac:dyDescent="0.2">
      <c r="A23" s="149"/>
      <c r="B23" s="94" t="s">
        <v>31</v>
      </c>
      <c r="C23" s="83">
        <v>9350</v>
      </c>
      <c r="D23" s="67">
        <v>10</v>
      </c>
      <c r="E23" s="107">
        <v>7425</v>
      </c>
      <c r="F23" s="108">
        <f>$T$2*(MIN(E$20:E$24)/E23)</f>
        <v>90</v>
      </c>
      <c r="G23" s="109">
        <f>D23+F23</f>
        <v>100</v>
      </c>
      <c r="H23" s="56">
        <v>1</v>
      </c>
      <c r="I23" s="34">
        <f>+$C23/$C$27*H23</f>
        <v>0.19110884006131834</v>
      </c>
      <c r="J23" s="35">
        <f t="shared" ref="J23" si="22">+G23*I23</f>
        <v>19.110884006131833</v>
      </c>
      <c r="K23" s="44"/>
      <c r="L23" s="115">
        <v>7425</v>
      </c>
      <c r="M23" s="74">
        <f t="shared" si="19"/>
        <v>90</v>
      </c>
      <c r="N23" s="74">
        <f t="shared" si="12"/>
        <v>100</v>
      </c>
      <c r="O23" s="58"/>
      <c r="P23" s="34"/>
      <c r="Q23" s="35"/>
      <c r="S23" s="84"/>
      <c r="T23" s="85"/>
      <c r="U23" s="82"/>
      <c r="V23" s="82"/>
    </row>
    <row r="24" spans="1:22" s="3" customFormat="1" ht="35.1" customHeight="1" thickBot="1" x14ac:dyDescent="0.25">
      <c r="A24" s="148"/>
      <c r="B24" s="51" t="s">
        <v>32</v>
      </c>
      <c r="C24" s="83">
        <v>9350</v>
      </c>
      <c r="D24" s="67">
        <v>10</v>
      </c>
      <c r="E24" s="101">
        <v>8059.26</v>
      </c>
      <c r="F24" s="25">
        <f>$T$2*(MIN(E$20:E$24)/E24)</f>
        <v>82.917042011301277</v>
      </c>
      <c r="G24" s="89">
        <f t="shared" si="17"/>
        <v>92.917042011301277</v>
      </c>
      <c r="H24" s="57"/>
      <c r="I24" s="36"/>
      <c r="J24" s="37"/>
      <c r="K24" s="41"/>
      <c r="L24" s="46">
        <f t="shared" si="11"/>
        <v>8059.26</v>
      </c>
      <c r="M24" s="117">
        <f t="shared" si="19"/>
        <v>82.917042011301277</v>
      </c>
      <c r="N24" s="117">
        <f t="shared" si="12"/>
        <v>92.917042011301277</v>
      </c>
      <c r="O24" s="60"/>
      <c r="P24" s="36">
        <f>+$C24/$C$27*O24</f>
        <v>0</v>
      </c>
      <c r="Q24" s="37">
        <f t="shared" si="18"/>
        <v>0</v>
      </c>
      <c r="S24" s="72"/>
      <c r="T24" s="72"/>
      <c r="U24" s="72"/>
      <c r="V24" s="72"/>
    </row>
    <row r="25" spans="1:22" s="3" customFormat="1" ht="35.1" customHeight="1" x14ac:dyDescent="0.2">
      <c r="A25" s="146" t="s">
        <v>25</v>
      </c>
      <c r="B25" s="49"/>
      <c r="C25" s="18"/>
      <c r="D25" s="19"/>
      <c r="E25" s="105"/>
      <c r="F25" s="81"/>
      <c r="G25" s="21"/>
      <c r="H25" s="55"/>
      <c r="I25" s="32"/>
      <c r="J25" s="33"/>
      <c r="K25" s="42"/>
      <c r="L25" s="80"/>
      <c r="M25" s="81"/>
      <c r="N25" s="81"/>
      <c r="O25" s="59"/>
      <c r="P25" s="32"/>
      <c r="Q25" s="33"/>
      <c r="S25" s="72"/>
      <c r="T25" s="72"/>
      <c r="U25" s="72"/>
      <c r="V25" s="72"/>
    </row>
    <row r="26" spans="1:22" s="3" customFormat="1" ht="35.1" customHeight="1" thickBot="1" x14ac:dyDescent="0.25">
      <c r="A26" s="148"/>
      <c r="B26" s="51" t="s">
        <v>29</v>
      </c>
      <c r="C26" s="23">
        <v>3000</v>
      </c>
      <c r="D26" s="24">
        <v>10</v>
      </c>
      <c r="E26" s="53">
        <v>2740.69</v>
      </c>
      <c r="F26" s="106">
        <f>$T$2*(MIN(E$25:E$26)/E26)</f>
        <v>90</v>
      </c>
      <c r="G26" s="40">
        <f>D26+F26</f>
        <v>100</v>
      </c>
      <c r="H26" s="57">
        <v>1</v>
      </c>
      <c r="I26" s="36">
        <f>+$C26/$C$27*H26</f>
        <v>6.1318344404701075E-2</v>
      </c>
      <c r="J26" s="37">
        <f t="shared" si="10"/>
        <v>6.1318344404701079</v>
      </c>
      <c r="K26" s="41"/>
      <c r="L26" s="46">
        <f t="shared" si="11"/>
        <v>2740.69</v>
      </c>
      <c r="M26" s="117">
        <f>$T$2*(MIN(L$25:L$26)/L26)</f>
        <v>90</v>
      </c>
      <c r="N26" s="25">
        <f t="shared" si="12"/>
        <v>100</v>
      </c>
      <c r="O26" s="60"/>
      <c r="P26" s="36">
        <f>+$C26/$C$27*O26</f>
        <v>0</v>
      </c>
      <c r="Q26" s="37">
        <f t="shared" si="18"/>
        <v>0</v>
      </c>
      <c r="S26" s="72"/>
      <c r="T26" s="72"/>
      <c r="U26" s="72"/>
      <c r="V26" s="72"/>
    </row>
    <row r="27" spans="1:22" ht="42.75" customHeight="1" thickBot="1" x14ac:dyDescent="0.3">
      <c r="B27" s="38" t="s">
        <v>12</v>
      </c>
      <c r="C27" s="39">
        <f>C9+C15+C20+C26</f>
        <v>48925</v>
      </c>
      <c r="I27" s="47" t="s">
        <v>13</v>
      </c>
      <c r="J27" s="61">
        <f>SUM(J9:J26)</f>
        <v>100</v>
      </c>
      <c r="P27" s="47" t="s">
        <v>13</v>
      </c>
      <c r="Q27" s="61">
        <f>SUM(Q9:Q26)</f>
        <v>87.579508016854376</v>
      </c>
    </row>
    <row r="28" spans="1:22" x14ac:dyDescent="0.25">
      <c r="K28" s="52"/>
      <c r="L28" s="145" t="s">
        <v>19</v>
      </c>
      <c r="M28" s="145"/>
      <c r="N28" s="145"/>
      <c r="O28" s="145"/>
    </row>
    <row r="29" spans="1:22" x14ac:dyDescent="0.25">
      <c r="L29" s="145"/>
      <c r="M29" s="145"/>
      <c r="N29" s="145"/>
      <c r="O29" s="145"/>
    </row>
    <row r="30" spans="1:22" ht="13.8" x14ac:dyDescent="0.25">
      <c r="A30" s="1" t="s">
        <v>2</v>
      </c>
    </row>
    <row r="31" spans="1:22" ht="13.8" x14ac:dyDescent="0.25">
      <c r="A31" s="1" t="s">
        <v>35</v>
      </c>
    </row>
    <row r="33" spans="1:7" ht="56.25" customHeight="1" x14ac:dyDescent="0.25">
      <c r="A33" s="138"/>
      <c r="B33" s="138"/>
      <c r="C33" s="138"/>
      <c r="D33" s="138"/>
      <c r="E33" s="138"/>
      <c r="F33" s="138"/>
      <c r="G33" s="138"/>
    </row>
  </sheetData>
  <mergeCells count="13">
    <mergeCell ref="A3:Q3"/>
    <mergeCell ref="A4:Q4"/>
    <mergeCell ref="A5:Q5"/>
    <mergeCell ref="S7:V8"/>
    <mergeCell ref="S9:V14"/>
    <mergeCell ref="A33:G33"/>
    <mergeCell ref="E7:J7"/>
    <mergeCell ref="K7:Q7"/>
    <mergeCell ref="L28:O29"/>
    <mergeCell ref="A9:A14"/>
    <mergeCell ref="A15:A19"/>
    <mergeCell ref="A20:A24"/>
    <mergeCell ref="A25:A26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EDDE3-1910-4FD8-B740-53C08DE2794C}">
  <sheetPr>
    <pageSetUpPr fitToPage="1"/>
  </sheetPr>
  <dimension ref="A1:O33"/>
  <sheetViews>
    <sheetView showGridLines="0" showZeros="0" tabSelected="1" topLeftCell="A18" zoomScale="80" zoomScaleNormal="80" workbookViewId="0">
      <selection activeCell="E21" sqref="E21"/>
    </sheetView>
  </sheetViews>
  <sheetFormatPr baseColWidth="10" defaultColWidth="11.44140625" defaultRowHeight="15" x14ac:dyDescent="0.25"/>
  <cols>
    <col min="1" max="1" width="25.33203125" style="9" customWidth="1"/>
    <col min="2" max="2" width="39" style="10" customWidth="1"/>
    <col min="3" max="3" width="22.6640625" style="10" customWidth="1"/>
    <col min="4" max="4" width="14.44140625" style="10" customWidth="1"/>
    <col min="5" max="10" width="16.6640625" style="10" customWidth="1"/>
    <col min="11" max="11" width="20.44140625" style="10" customWidth="1"/>
    <col min="12" max="16384" width="11.44140625" style="10"/>
  </cols>
  <sheetData>
    <row r="1" spans="1:15" x14ac:dyDescent="0.25">
      <c r="L1" s="12"/>
    </row>
    <row r="2" spans="1:15" s="3" customFormat="1" ht="42.6" customHeight="1" x14ac:dyDescent="0.2">
      <c r="A2" s="2"/>
      <c r="D2" s="4"/>
      <c r="E2" s="4"/>
      <c r="F2" s="4"/>
      <c r="G2" s="4"/>
      <c r="H2" s="5"/>
      <c r="L2" s="13" t="s">
        <v>33</v>
      </c>
      <c r="M2" s="63">
        <v>90</v>
      </c>
    </row>
    <row r="3" spans="1:15" s="3" customFormat="1" ht="22.5" customHeight="1" x14ac:dyDescent="0.2">
      <c r="A3" s="150" t="s">
        <v>21</v>
      </c>
      <c r="B3" s="150"/>
      <c r="C3" s="150"/>
      <c r="D3" s="150"/>
      <c r="E3" s="150"/>
      <c r="F3" s="150"/>
      <c r="G3" s="150"/>
      <c r="H3" s="150"/>
      <c r="I3" s="150"/>
      <c r="J3" s="150"/>
      <c r="L3" s="31"/>
      <c r="M3" s="62"/>
    </row>
    <row r="4" spans="1:15" s="3" customFormat="1" ht="22.5" customHeight="1" x14ac:dyDescent="0.2">
      <c r="A4" s="150" t="s">
        <v>22</v>
      </c>
      <c r="B4" s="150"/>
      <c r="C4" s="150"/>
      <c r="D4" s="150"/>
      <c r="E4" s="150"/>
      <c r="F4" s="150"/>
      <c r="G4" s="150"/>
      <c r="H4" s="150"/>
      <c r="I4" s="150"/>
      <c r="J4" s="150"/>
      <c r="L4" s="84"/>
      <c r="M4" s="85"/>
    </row>
    <row r="5" spans="1:15" s="3" customFormat="1" ht="24.6" customHeight="1" x14ac:dyDescent="0.2">
      <c r="A5" s="150" t="s">
        <v>3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15" s="3" customFormat="1" ht="24.6" customHeight="1" thickBot="1" x14ac:dyDescent="0.25">
      <c r="A6" s="110"/>
      <c r="B6" s="110"/>
      <c r="C6" s="110"/>
      <c r="D6" s="110"/>
      <c r="E6" s="110"/>
      <c r="F6" s="110"/>
      <c r="G6" s="110"/>
      <c r="H6" s="4"/>
      <c r="L6" s="84"/>
      <c r="M6" s="85"/>
    </row>
    <row r="7" spans="1:15" s="3" customFormat="1" ht="24.75" customHeight="1" thickBot="1" x14ac:dyDescent="0.35">
      <c r="A7" s="2"/>
      <c r="B7" s="6"/>
      <c r="C7" s="7"/>
      <c r="D7" s="7"/>
      <c r="E7" s="139" t="s">
        <v>14</v>
      </c>
      <c r="F7" s="140"/>
      <c r="G7" s="140"/>
      <c r="H7" s="140"/>
      <c r="I7" s="140"/>
      <c r="J7" s="141"/>
      <c r="L7" s="151">
        <f>L9</f>
        <v>0</v>
      </c>
      <c r="M7" s="151"/>
      <c r="N7" s="151"/>
      <c r="O7" s="151"/>
    </row>
    <row r="8" spans="1:15" s="8" customFormat="1" ht="41.4" customHeight="1" thickTop="1" thickBot="1" x14ac:dyDescent="0.3">
      <c r="A8" s="14" t="s">
        <v>4</v>
      </c>
      <c r="B8" s="15" t="s">
        <v>5</v>
      </c>
      <c r="C8" s="16" t="s">
        <v>6</v>
      </c>
      <c r="D8" s="17" t="s">
        <v>0</v>
      </c>
      <c r="E8" s="15" t="s">
        <v>18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64" t="s">
        <v>17</v>
      </c>
      <c r="L8" s="151"/>
      <c r="M8" s="151"/>
      <c r="N8" s="151"/>
      <c r="O8" s="151"/>
    </row>
    <row r="9" spans="1:15" s="3" customFormat="1" ht="35.1" customHeight="1" x14ac:dyDescent="0.2">
      <c r="A9" s="146" t="s">
        <v>23</v>
      </c>
      <c r="B9" s="49" t="s">
        <v>27</v>
      </c>
      <c r="C9" s="18">
        <v>12375</v>
      </c>
      <c r="D9" s="19">
        <v>10</v>
      </c>
      <c r="E9" s="104">
        <v>11011.99</v>
      </c>
      <c r="F9" s="81">
        <f t="shared" ref="F9:F14" si="0">$M$2*(MIN(E$9:E$14)/E9)</f>
        <v>84.310101988832173</v>
      </c>
      <c r="G9" s="81">
        <f>D9+F9</f>
        <v>94.310101988832173</v>
      </c>
      <c r="H9" s="55"/>
      <c r="I9" s="32">
        <f>+$C9/$C$27*H9</f>
        <v>0</v>
      </c>
      <c r="J9" s="33">
        <f t="shared" ref="J9:J10" si="1">+G9*I9</f>
        <v>0</v>
      </c>
      <c r="K9" s="136">
        <f>100-($E9*100/$C9)</f>
        <v>11.014222222222216</v>
      </c>
      <c r="L9" s="151"/>
      <c r="M9" s="151"/>
      <c r="N9" s="151"/>
      <c r="O9" s="151"/>
    </row>
    <row r="10" spans="1:15" s="3" customFormat="1" ht="35.1" customHeight="1" x14ac:dyDescent="0.2">
      <c r="A10" s="147"/>
      <c r="B10" s="66" t="s">
        <v>28</v>
      </c>
      <c r="C10" s="83">
        <v>12375</v>
      </c>
      <c r="D10" s="67">
        <v>10</v>
      </c>
      <c r="E10" s="73">
        <v>11627</v>
      </c>
      <c r="F10" s="74">
        <f t="shared" si="0"/>
        <v>79.850520340586556</v>
      </c>
      <c r="G10" s="74">
        <f>D10+F10</f>
        <v>89.850520340586556</v>
      </c>
      <c r="H10" s="75"/>
      <c r="I10" s="76"/>
      <c r="J10" s="77">
        <f t="shared" si="1"/>
        <v>0</v>
      </c>
      <c r="K10" s="137">
        <f t="shared" ref="K10:K26" si="2">100-($E10*100/$C10)</f>
        <v>6.0444444444444514</v>
      </c>
      <c r="L10" s="151"/>
      <c r="M10" s="151"/>
      <c r="N10" s="151"/>
      <c r="O10" s="151"/>
    </row>
    <row r="11" spans="1:15" s="3" customFormat="1" ht="35.1" customHeight="1" x14ac:dyDescent="0.2">
      <c r="A11" s="147"/>
      <c r="B11" s="66" t="s">
        <v>29</v>
      </c>
      <c r="C11" s="26">
        <v>12375</v>
      </c>
      <c r="D11" s="67">
        <v>8</v>
      </c>
      <c r="E11" s="73">
        <v>12300.75</v>
      </c>
      <c r="F11" s="74">
        <f t="shared" si="0"/>
        <v>75.476861167001999</v>
      </c>
      <c r="G11" s="74">
        <f t="shared" ref="G11:G13" si="3">D11+F11</f>
        <v>83.476861167001999</v>
      </c>
      <c r="H11" s="75"/>
      <c r="I11" s="76">
        <f t="shared" ref="I11:I16" si="4">+$C11/$C$27*H11</f>
        <v>0</v>
      </c>
      <c r="J11" s="77"/>
      <c r="K11" s="137">
        <f t="shared" si="2"/>
        <v>0.59999999999999432</v>
      </c>
      <c r="L11" s="151"/>
      <c r="M11" s="151"/>
      <c r="N11" s="151"/>
      <c r="O11" s="151"/>
    </row>
    <row r="12" spans="1:15" s="3" customFormat="1" ht="35.1" customHeight="1" x14ac:dyDescent="0.2">
      <c r="A12" s="147"/>
      <c r="B12" s="66" t="s">
        <v>30</v>
      </c>
      <c r="C12" s="26">
        <v>12375</v>
      </c>
      <c r="D12" s="67">
        <v>10</v>
      </c>
      <c r="E12" s="73">
        <v>11691.9</v>
      </c>
      <c r="F12" s="74">
        <f t="shared" si="0"/>
        <v>79.407281964436919</v>
      </c>
      <c r="G12" s="74">
        <f t="shared" si="3"/>
        <v>89.407281964436919</v>
      </c>
      <c r="H12" s="75"/>
      <c r="I12" s="76">
        <f t="shared" si="4"/>
        <v>0</v>
      </c>
      <c r="J12" s="77"/>
      <c r="K12" s="137">
        <f t="shared" si="2"/>
        <v>5.519999999999996</v>
      </c>
      <c r="L12" s="151"/>
      <c r="M12" s="151"/>
      <c r="N12" s="151"/>
      <c r="O12" s="151"/>
    </row>
    <row r="13" spans="1:15" s="3" customFormat="1" ht="35.1" customHeight="1" thickBot="1" x14ac:dyDescent="0.25">
      <c r="A13" s="147"/>
      <c r="B13" s="66" t="s">
        <v>31</v>
      </c>
      <c r="C13" s="83">
        <v>12375</v>
      </c>
      <c r="D13" s="67">
        <v>10</v>
      </c>
      <c r="E13" s="73">
        <v>10395</v>
      </c>
      <c r="F13" s="74">
        <f t="shared" si="0"/>
        <v>89.314285714285717</v>
      </c>
      <c r="G13" s="74">
        <f t="shared" si="3"/>
        <v>99.314285714285717</v>
      </c>
      <c r="H13" s="75"/>
      <c r="I13" s="76">
        <f t="shared" si="4"/>
        <v>0</v>
      </c>
      <c r="J13" s="77"/>
      <c r="K13" s="135">
        <f t="shared" si="2"/>
        <v>16</v>
      </c>
      <c r="L13" s="151"/>
      <c r="M13" s="151"/>
      <c r="N13" s="151"/>
      <c r="O13" s="151"/>
    </row>
    <row r="14" spans="1:15" s="3" customFormat="1" ht="35.1" customHeight="1" thickBot="1" x14ac:dyDescent="0.25">
      <c r="A14" s="148"/>
      <c r="B14" s="119" t="s">
        <v>32</v>
      </c>
      <c r="C14" s="120">
        <v>12375</v>
      </c>
      <c r="D14" s="121">
        <v>10</v>
      </c>
      <c r="E14" s="103">
        <v>10315.799999999999</v>
      </c>
      <c r="F14" s="40">
        <f t="shared" si="0"/>
        <v>90</v>
      </c>
      <c r="G14" s="22">
        <f>D14+F14</f>
        <v>100</v>
      </c>
      <c r="H14" s="122">
        <v>1</v>
      </c>
      <c r="I14" s="123">
        <f t="shared" si="4"/>
        <v>0.25293817066939195</v>
      </c>
      <c r="J14" s="124">
        <f>+G14*I14</f>
        <v>25.293817066939194</v>
      </c>
      <c r="K14" s="125">
        <f t="shared" si="2"/>
        <v>16.640000000000015</v>
      </c>
      <c r="L14" s="151"/>
      <c r="M14" s="151"/>
      <c r="N14" s="151"/>
      <c r="O14" s="151"/>
    </row>
    <row r="15" spans="1:15" s="3" customFormat="1" ht="35.1" customHeight="1" x14ac:dyDescent="0.2">
      <c r="A15" s="146" t="s">
        <v>26</v>
      </c>
      <c r="B15" s="49" t="s">
        <v>27</v>
      </c>
      <c r="C15" s="18">
        <v>24200</v>
      </c>
      <c r="D15" s="19">
        <v>10</v>
      </c>
      <c r="E15" s="20">
        <v>21879</v>
      </c>
      <c r="F15" s="71">
        <f>$M$2*(MIN(E$15:E$19)/E15)</f>
        <v>89.7814479638009</v>
      </c>
      <c r="G15" s="21">
        <f t="shared" ref="G15:G24" si="5">D15+F15</f>
        <v>99.7814479638009</v>
      </c>
      <c r="H15" s="55"/>
      <c r="I15" s="32">
        <f t="shared" si="4"/>
        <v>0</v>
      </c>
      <c r="J15" s="33">
        <f t="shared" ref="J15:J26" si="6">+G15*I15</f>
        <v>0</v>
      </c>
      <c r="K15" s="136">
        <f t="shared" si="2"/>
        <v>9.5909090909090935</v>
      </c>
      <c r="L15" s="84"/>
      <c r="M15" s="85"/>
      <c r="N15" s="111"/>
      <c r="O15" s="111"/>
    </row>
    <row r="16" spans="1:15" s="3" customFormat="1" ht="35.1" customHeight="1" x14ac:dyDescent="0.2">
      <c r="A16" s="147"/>
      <c r="B16" s="86" t="s">
        <v>28</v>
      </c>
      <c r="C16" s="26">
        <v>24200</v>
      </c>
      <c r="D16" s="27">
        <v>10</v>
      </c>
      <c r="E16" s="88">
        <v>22275</v>
      </c>
      <c r="F16" s="71">
        <f>$M$2*(MIN(E$15:E$19)/E16)</f>
        <v>88.185333333333332</v>
      </c>
      <c r="G16" s="102">
        <f t="shared" si="5"/>
        <v>98.185333333333332</v>
      </c>
      <c r="H16" s="90"/>
      <c r="I16" s="91">
        <f t="shared" si="4"/>
        <v>0</v>
      </c>
      <c r="J16" s="92"/>
      <c r="K16" s="137">
        <f t="shared" si="2"/>
        <v>7.9545454545454533</v>
      </c>
      <c r="L16" s="84"/>
      <c r="M16" s="85"/>
      <c r="N16" s="111"/>
      <c r="O16" s="111"/>
    </row>
    <row r="17" spans="1:15" s="3" customFormat="1" ht="35.1" customHeight="1" x14ac:dyDescent="0.2">
      <c r="A17" s="149"/>
      <c r="B17" s="94" t="s">
        <v>30</v>
      </c>
      <c r="C17" s="26">
        <v>24200</v>
      </c>
      <c r="D17" s="27">
        <v>10</v>
      </c>
      <c r="E17" s="28">
        <v>22720.5</v>
      </c>
      <c r="F17" s="71">
        <f>$M$2*(MIN(E$15:E$19)/E17)</f>
        <v>86.456209150326785</v>
      </c>
      <c r="G17" s="102">
        <f t="shared" si="5"/>
        <v>96.456209150326785</v>
      </c>
      <c r="H17" s="56"/>
      <c r="I17" s="34"/>
      <c r="J17" s="35"/>
      <c r="K17" s="137">
        <f t="shared" si="2"/>
        <v>6.1136363636363598</v>
      </c>
      <c r="L17" s="84"/>
      <c r="M17" s="85"/>
      <c r="N17" s="111"/>
      <c r="O17" s="111"/>
    </row>
    <row r="18" spans="1:15" s="3" customFormat="1" ht="35.1" customHeight="1" thickBot="1" x14ac:dyDescent="0.25">
      <c r="A18" s="149"/>
      <c r="B18" s="94" t="s">
        <v>31</v>
      </c>
      <c r="C18" s="26">
        <v>24200</v>
      </c>
      <c r="D18" s="27">
        <v>10</v>
      </c>
      <c r="E18" s="95">
        <v>22600</v>
      </c>
      <c r="F18" s="71">
        <f>$M$2*(MIN(E$15:E$19)/E18)</f>
        <v>86.917181415929193</v>
      </c>
      <c r="G18" s="102">
        <f t="shared" si="5"/>
        <v>96.917181415929193</v>
      </c>
      <c r="H18" s="96"/>
      <c r="I18" s="97"/>
      <c r="J18" s="98"/>
      <c r="K18" s="135">
        <f t="shared" si="2"/>
        <v>6.6115702479338836</v>
      </c>
      <c r="L18" s="84"/>
      <c r="M18" s="85"/>
      <c r="N18" s="111"/>
      <c r="O18" s="111"/>
    </row>
    <row r="19" spans="1:15" s="3" customFormat="1" ht="35.1" customHeight="1" thickBot="1" x14ac:dyDescent="0.25">
      <c r="A19" s="148"/>
      <c r="B19" s="126" t="s">
        <v>32</v>
      </c>
      <c r="C19" s="127">
        <v>24200</v>
      </c>
      <c r="D19" s="128">
        <v>10</v>
      </c>
      <c r="E19" s="53">
        <v>21825.87</v>
      </c>
      <c r="F19" s="40">
        <f>$M$2*(MIN(E$15:E$19)/E19)</f>
        <v>90</v>
      </c>
      <c r="G19" s="40">
        <f t="shared" si="5"/>
        <v>100</v>
      </c>
      <c r="H19" s="129">
        <v>1</v>
      </c>
      <c r="I19" s="130">
        <f>+$C19/$C$27*H19</f>
        <v>0.49463464486458864</v>
      </c>
      <c r="J19" s="131">
        <f t="shared" si="6"/>
        <v>49.463464486458861</v>
      </c>
      <c r="K19" s="125">
        <f t="shared" si="2"/>
        <v>9.8104545454545473</v>
      </c>
      <c r="L19" s="111"/>
      <c r="M19" s="111"/>
      <c r="N19" s="111"/>
      <c r="O19" s="111"/>
    </row>
    <row r="20" spans="1:15" s="3" customFormat="1" ht="35.1" customHeight="1" x14ac:dyDescent="0.2">
      <c r="A20" s="146" t="s">
        <v>24</v>
      </c>
      <c r="B20" s="49" t="s">
        <v>28</v>
      </c>
      <c r="C20" s="18">
        <v>9350</v>
      </c>
      <c r="D20" s="19">
        <v>10</v>
      </c>
      <c r="E20" s="20">
        <v>8470</v>
      </c>
      <c r="F20" s="71">
        <f>$M$2*(MIN(E$20:E$24)/E20)</f>
        <v>78.896103896103895</v>
      </c>
      <c r="G20" s="71">
        <f t="shared" si="5"/>
        <v>88.896103896103895</v>
      </c>
      <c r="H20" s="55"/>
      <c r="I20" s="32">
        <f>+$C20/$C$27*H20</f>
        <v>0</v>
      </c>
      <c r="J20" s="33">
        <f t="shared" si="6"/>
        <v>0</v>
      </c>
      <c r="K20" s="136">
        <f t="shared" si="2"/>
        <v>9.4117647058823479</v>
      </c>
      <c r="L20" s="84"/>
      <c r="M20" s="85"/>
      <c r="N20" s="111"/>
      <c r="O20" s="111"/>
    </row>
    <row r="21" spans="1:15" s="3" customFormat="1" ht="35.1" customHeight="1" x14ac:dyDescent="0.2">
      <c r="A21" s="149"/>
      <c r="B21" s="94" t="s">
        <v>29</v>
      </c>
      <c r="C21" s="26">
        <v>9350</v>
      </c>
      <c r="D21" s="27">
        <v>8</v>
      </c>
      <c r="E21" s="88">
        <v>9108</v>
      </c>
      <c r="F21" s="71">
        <f>$M$2*(MIN(E$20:E$24)/E21)</f>
        <v>73.369565217391298</v>
      </c>
      <c r="G21" s="102">
        <f t="shared" si="5"/>
        <v>81.369565217391298</v>
      </c>
      <c r="H21" s="56"/>
      <c r="I21" s="34"/>
      <c r="J21" s="35"/>
      <c r="K21" s="137">
        <f t="shared" si="2"/>
        <v>2.5882352941176521</v>
      </c>
      <c r="L21" s="84"/>
      <c r="M21" s="85"/>
      <c r="N21" s="111"/>
      <c r="O21" s="111"/>
    </row>
    <row r="22" spans="1:15" s="3" customFormat="1" ht="35.1" customHeight="1" thickBot="1" x14ac:dyDescent="0.25">
      <c r="A22" s="149"/>
      <c r="B22" s="94" t="s">
        <v>30</v>
      </c>
      <c r="C22" s="83">
        <v>9350</v>
      </c>
      <c r="D22" s="67">
        <v>10</v>
      </c>
      <c r="E22" s="28">
        <v>8865.56</v>
      </c>
      <c r="F22" s="71">
        <f>$M$2*(MIN(E$20:E$24)/E22)</f>
        <v>75.375949178619294</v>
      </c>
      <c r="G22" s="102">
        <f t="shared" si="5"/>
        <v>85.375949178619294</v>
      </c>
      <c r="H22" s="56"/>
      <c r="I22" s="34"/>
      <c r="J22" s="35"/>
      <c r="K22" s="135">
        <f t="shared" si="2"/>
        <v>5.181176470588241</v>
      </c>
      <c r="L22" s="84"/>
      <c r="M22" s="85"/>
      <c r="N22" s="111"/>
      <c r="O22" s="111"/>
    </row>
    <row r="23" spans="1:15" s="3" customFormat="1" ht="35.1" customHeight="1" thickBot="1" x14ac:dyDescent="0.25">
      <c r="A23" s="149"/>
      <c r="B23" s="132" t="s">
        <v>31</v>
      </c>
      <c r="C23" s="120">
        <v>9350</v>
      </c>
      <c r="D23" s="128">
        <v>10</v>
      </c>
      <c r="E23" s="107">
        <v>7425</v>
      </c>
      <c r="F23" s="108">
        <f>$M$2*(MIN(E$20:E$24)/E23)</f>
        <v>90</v>
      </c>
      <c r="G23" s="109">
        <f>D23+F23</f>
        <v>100</v>
      </c>
      <c r="H23" s="122">
        <v>1</v>
      </c>
      <c r="I23" s="123">
        <f>+$C23/$C$27*H23</f>
        <v>0.19110884006131834</v>
      </c>
      <c r="J23" s="124">
        <f t="shared" ref="J23" si="7">+G23*I23</f>
        <v>19.110884006131833</v>
      </c>
      <c r="K23" s="125">
        <f t="shared" si="2"/>
        <v>20.588235294117652</v>
      </c>
      <c r="L23" s="84"/>
      <c r="M23" s="85"/>
      <c r="N23" s="111"/>
      <c r="O23" s="111"/>
    </row>
    <row r="24" spans="1:15" s="3" customFormat="1" ht="35.1" customHeight="1" thickBot="1" x14ac:dyDescent="0.25">
      <c r="A24" s="148"/>
      <c r="B24" s="51" t="s">
        <v>32</v>
      </c>
      <c r="C24" s="83">
        <v>9350</v>
      </c>
      <c r="D24" s="67">
        <v>10</v>
      </c>
      <c r="E24" s="101">
        <v>8059.26</v>
      </c>
      <c r="F24" s="25">
        <f>$M$2*(MIN(E$20:E$24)/E24)</f>
        <v>82.917042011301277</v>
      </c>
      <c r="G24" s="89">
        <f t="shared" si="5"/>
        <v>92.917042011301277</v>
      </c>
      <c r="H24" s="57"/>
      <c r="I24" s="36"/>
      <c r="J24" s="37"/>
      <c r="K24" s="136">
        <f t="shared" si="2"/>
        <v>13.804705882352948</v>
      </c>
      <c r="L24" s="111"/>
      <c r="M24" s="111"/>
      <c r="N24" s="111"/>
      <c r="O24" s="111"/>
    </row>
    <row r="25" spans="1:15" s="3" customFormat="1" ht="35.1" customHeight="1" thickBot="1" x14ac:dyDescent="0.25">
      <c r="A25" s="146" t="s">
        <v>25</v>
      </c>
      <c r="B25" s="49"/>
      <c r="C25" s="18"/>
      <c r="D25" s="19"/>
      <c r="E25" s="105"/>
      <c r="F25" s="81"/>
      <c r="G25" s="21"/>
      <c r="H25" s="55"/>
      <c r="I25" s="32"/>
      <c r="J25" s="33"/>
      <c r="K25" s="135"/>
      <c r="L25" s="111"/>
      <c r="M25" s="111"/>
      <c r="N25" s="111"/>
      <c r="O25" s="111"/>
    </row>
    <row r="26" spans="1:15" s="3" customFormat="1" ht="35.1" customHeight="1" thickBot="1" x14ac:dyDescent="0.25">
      <c r="A26" s="148"/>
      <c r="B26" s="126" t="s">
        <v>29</v>
      </c>
      <c r="C26" s="133">
        <v>3000</v>
      </c>
      <c r="D26" s="134">
        <v>10</v>
      </c>
      <c r="E26" s="53">
        <v>2740.69</v>
      </c>
      <c r="F26" s="106">
        <f>$M$2*(MIN(E$25:E$26)/E26)</f>
        <v>90</v>
      </c>
      <c r="G26" s="40">
        <f>D26+F26</f>
        <v>100</v>
      </c>
      <c r="H26" s="129">
        <v>1</v>
      </c>
      <c r="I26" s="130">
        <f>+$C26/$C$27*H26</f>
        <v>6.1318344404701075E-2</v>
      </c>
      <c r="J26" s="131">
        <f t="shared" si="6"/>
        <v>6.1318344404701079</v>
      </c>
      <c r="K26" s="125">
        <f t="shared" si="2"/>
        <v>8.6436666666666611</v>
      </c>
      <c r="L26" s="111"/>
      <c r="M26" s="111"/>
      <c r="N26" s="111"/>
      <c r="O26" s="111"/>
    </row>
    <row r="27" spans="1:15" ht="42.75" customHeight="1" thickBot="1" x14ac:dyDescent="0.3">
      <c r="B27" s="38" t="s">
        <v>12</v>
      </c>
      <c r="C27" s="39">
        <f>C9+C15+C20+C26</f>
        <v>48925</v>
      </c>
      <c r="I27" s="47" t="s">
        <v>13</v>
      </c>
      <c r="J27" s="61">
        <f>SUM(J9:J26)</f>
        <v>100</v>
      </c>
    </row>
    <row r="30" spans="1:15" ht="13.8" x14ac:dyDescent="0.25">
      <c r="A30" s="1" t="s">
        <v>2</v>
      </c>
    </row>
    <row r="31" spans="1:15" ht="13.8" x14ac:dyDescent="0.25">
      <c r="A31" s="1" t="s">
        <v>35</v>
      </c>
    </row>
    <row r="33" spans="1:7" ht="56.25" customHeight="1" x14ac:dyDescent="0.25">
      <c r="A33" s="138"/>
      <c r="B33" s="138"/>
      <c r="C33" s="138"/>
      <c r="D33" s="138"/>
      <c r="E33" s="138"/>
      <c r="F33" s="138"/>
      <c r="G33" s="138"/>
    </row>
  </sheetData>
  <mergeCells count="11">
    <mergeCell ref="A33:G33"/>
    <mergeCell ref="A9:A14"/>
    <mergeCell ref="L9:O14"/>
    <mergeCell ref="A15:A19"/>
    <mergeCell ref="A20:A24"/>
    <mergeCell ref="A25:A26"/>
    <mergeCell ref="A3:J3"/>
    <mergeCell ref="A4:J4"/>
    <mergeCell ref="A5:J5"/>
    <mergeCell ref="E7:J7"/>
    <mergeCell ref="L7:O8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valoración</vt:lpstr>
      <vt:lpstr>ALTERNATIVA ADJUDICADA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SOLEDAD ZUJEROS JURADO</cp:lastModifiedBy>
  <cp:lastPrinted>2024-08-30T14:52:59Z</cp:lastPrinted>
  <dcterms:created xsi:type="dcterms:W3CDTF">2007-03-30T09:59:06Z</dcterms:created>
  <dcterms:modified xsi:type="dcterms:W3CDTF">2025-05-14T11:39:50Z</dcterms:modified>
</cp:coreProperties>
</file>