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2.- EXPEDIENTES COMITE\4.- ADJUDICACIÓN\S-00203-2025 Cables SMPTE cámara distintas áreas RTVE\Informe\"/>
    </mc:Choice>
  </mc:AlternateContent>
  <xr:revisionPtr revIDLastSave="0" documentId="13_ncr:1_{4217518C-C079-4283-83C0-DAAB68E8AF16}" xr6:coauthVersionLast="47" xr6:coauthVersionMax="47" xr10:uidLastSave="{00000000-0000-0000-0000-000000000000}"/>
  <bookViews>
    <workbookView xWindow="-120" yWindow="-120" windowWidth="29040" windowHeight="1572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ADJUDICADA'!$A$1:$L$20</definedName>
    <definedName name="_xlnm.Print_Area" localSheetId="1">valoración!$A$2:$Q$20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6" l="1"/>
  <c r="L14" i="6"/>
  <c r="L10" i="6"/>
  <c r="L9" i="6"/>
  <c r="L11" i="6"/>
  <c r="L12" i="6"/>
  <c r="L13" i="6"/>
  <c r="K14" i="6"/>
  <c r="K13" i="6"/>
  <c r="K12" i="6"/>
  <c r="K11" i="6"/>
  <c r="K10" i="6"/>
  <c r="K9" i="6"/>
  <c r="C16" i="6"/>
  <c r="M13" i="5"/>
  <c r="N13" i="5" s="1"/>
  <c r="Q13" i="5" s="1"/>
  <c r="G13" i="5"/>
  <c r="J16" i="5"/>
  <c r="L13" i="5"/>
  <c r="I13" i="5"/>
  <c r="F13" i="5"/>
  <c r="J13" i="5" s="1"/>
  <c r="C16" i="5"/>
  <c r="F14" i="5" l="1"/>
  <c r="G14" i="5" s="1"/>
  <c r="F12" i="5"/>
  <c r="F11" i="5"/>
  <c r="F10" i="5"/>
  <c r="F9" i="5"/>
  <c r="G9" i="5" s="1"/>
  <c r="A4" i="6" l="1"/>
  <c r="A3" i="6"/>
  <c r="A2" i="6"/>
  <c r="L15" i="5" l="1"/>
  <c r="L14" i="5"/>
  <c r="M14" i="5" s="1"/>
  <c r="L12" i="5"/>
  <c r="G12" i="5"/>
  <c r="L11" i="5"/>
  <c r="G11" i="5"/>
  <c r="L10" i="5"/>
  <c r="G10" i="5"/>
  <c r="L9" i="5"/>
  <c r="I10" i="5" l="1"/>
  <c r="J10" i="5" s="1"/>
  <c r="P13" i="5"/>
  <c r="P10" i="5"/>
  <c r="I14" i="5"/>
  <c r="J14" i="5" s="1"/>
  <c r="I11" i="5"/>
  <c r="I9" i="5"/>
  <c r="J9" i="5" s="1"/>
  <c r="I15" i="5"/>
  <c r="J15" i="5" s="1"/>
  <c r="P11" i="5"/>
  <c r="P9" i="5"/>
  <c r="P15" i="5"/>
  <c r="M10" i="5"/>
  <c r="N10" i="5" s="1"/>
  <c r="J11" i="5"/>
  <c r="I12" i="5"/>
  <c r="J12" i="5" s="1"/>
  <c r="P14" i="5"/>
  <c r="N14" i="5"/>
  <c r="Q14" i="5" s="1"/>
  <c r="M9" i="5"/>
  <c r="N9" i="5" s="1"/>
  <c r="M12" i="5"/>
  <c r="N12" i="5" s="1"/>
  <c r="M11" i="5"/>
  <c r="N11" i="5" s="1"/>
  <c r="P12" i="5"/>
  <c r="Q11" i="5" l="1"/>
  <c r="Q9" i="5"/>
  <c r="Q16" i="5" s="1"/>
  <c r="Q10" i="5"/>
  <c r="Q12" i="5"/>
</calcChain>
</file>

<file path=xl/sharedStrings.xml><?xml version="1.0" encoding="utf-8"?>
<sst xmlns="http://schemas.openxmlformats.org/spreadsheetml/2006/main" count="72" uniqueCount="38">
  <si>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</si>
  <si>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</si>
  <si>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</si>
  <si>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</si>
  <si>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</si>
  <si>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</si>
  <si>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</si>
  <si>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</si>
  <si>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</si>
  <si>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</si>
  <si>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</si>
  <si>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</si>
  <si>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</si>
  <si>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</si>
  <si>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</si>
  <si>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</si>
  <si>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</si>
  <si>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</si>
  <si>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</si>
  <si>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Importe Oferta (Contrato + prorroga/s)</t>
  </si>
  <si>
    <t>Puntuación total ponderada:</t>
  </si>
  <si>
    <t>%  Ahorro s/ licitación</t>
  </si>
  <si>
    <t>PROPUESTA DE ADJUDICACIÓN DEL EXPEDIENTE S-00203-2025</t>
  </si>
  <si>
    <t>"Cables de cámara distintas áreas RTVE"</t>
  </si>
  <si>
    <t>IBERLEMO, S.A.</t>
  </si>
  <si>
    <t xml:space="preserve">PERMANYER GRIÑO CONNEXIONS SLU	</t>
  </si>
  <si>
    <t>Tactical Fiber Systems SL</t>
  </si>
  <si>
    <t>CABLEADOS Y CONEXIONES S.L.</t>
  </si>
  <si>
    <r>
      <t>Importe Oferta</t>
    </r>
    <r>
      <rPr>
        <b/>
        <i/>
        <sz val="12"/>
        <rFont val="Tahoma"/>
        <family val="2"/>
      </rPr>
      <t xml:space="preserve"> </t>
    </r>
  </si>
  <si>
    <t>Valor estimado</t>
  </si>
  <si>
    <t>Por no subsanar el Anexo II en tiempo y forma</t>
  </si>
  <si>
    <t>LOTE 1: Cables cámara fibra híbrida</t>
  </si>
  <si>
    <t>LOTE 2: Mangueras de fibra óptica con conectores LC</t>
  </si>
  <si>
    <t>LOTE 3:Mangueras fibra óptica conectores opticos duales</t>
  </si>
  <si>
    <t>LOTE 4:Latiguillos-adaptadores POWERCON/SCHUKO/IEC</t>
  </si>
  <si>
    <t>---</t>
  </si>
  <si>
    <t>Madrid, a 29 de mayo de 2025</t>
  </si>
  <si>
    <t>Alternativa 2: oferta conjunta "PERMANYER" por los cuatro lotes (3% de descuento)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</si>
</sst>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98">
    <xf numFmtId="0" fontId="0" fillId="0" borderId="0" xfId="0"/>
    <xf numFmtId="0" fontId="5" fillId="0" borderId="5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166" fontId="6" fillId="0" borderId="10" xfId="0" applyNumberFormat="1" applyFont="1" applyFill="1" applyBorder="1" applyAlignment="1">
      <alignment horizontal="right" vertical="center" indent="1"/>
    </xf>
    <xf numFmtId="4" fontId="6" fillId="0" borderId="11" xfId="0" applyNumberFormat="1" applyFont="1" applyFill="1" applyBorder="1" applyAlignment="1">
      <alignment horizontal="right" vertical="center" indent="1"/>
    </xf>
    <xf numFmtId="166" fontId="6" fillId="0" borderId="6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1" xfId="2" applyNumberFormat="1" applyFont="1" applyFill="1" applyBorder="1" applyAlignment="1">
      <alignment horizontal="center" vertical="center"/>
    </xf>
    <xf numFmtId="10" fontId="5" fillId="0" borderId="11" xfId="0" applyNumberFormat="1" applyFont="1" applyFill="1" applyBorder="1" applyAlignment="1">
      <alignment horizontal="center" vertical="center"/>
    </xf>
    <xf numFmtId="43" fontId="5" fillId="0" borderId="12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43" fontId="5" fillId="0" borderId="13" xfId="2" applyFont="1" applyFill="1" applyBorder="1" applyAlignment="1">
      <alignment horizontal="center" vertical="center"/>
    </xf>
    <xf numFmtId="166" fontId="17" fillId="0" borderId="14" xfId="0" applyNumberFormat="1" applyFont="1" applyFill="1" applyBorder="1" applyAlignment="1">
      <alignment horizontal="center" vertical="center"/>
    </xf>
    <xf numFmtId="165" fontId="5" fillId="0" borderId="10" xfId="2" applyNumberFormat="1" applyFont="1" applyFill="1" applyBorder="1" applyAlignment="1">
      <alignment horizontal="center" vertical="center"/>
    </xf>
    <xf numFmtId="165" fontId="5" fillId="0" borderId="6" xfId="2" applyNumberFormat="1" applyFont="1" applyFill="1" applyBorder="1" applyAlignment="1">
      <alignment horizontal="center" vertical="center"/>
    </xf>
    <xf numFmtId="9" fontId="5" fillId="0" borderId="10" xfId="3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9" fontId="5" fillId="0" borderId="6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0" fontId="16" fillId="0" borderId="17" xfId="0" applyNumberFormat="1" applyFont="1" applyFill="1" applyBorder="1" applyAlignment="1">
      <alignment horizontal="left" vertical="top" wrapText="1"/>
    </xf>
    <xf numFmtId="43" fontId="5" fillId="0" borderId="18" xfId="2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right" vertical="center" indent="1"/>
    </xf>
    <xf numFmtId="0" fontId="0" fillId="4" borderId="0" xfId="0" applyFill="1"/>
    <xf numFmtId="9" fontId="5" fillId="4" borderId="10" xfId="3" applyFont="1" applyFill="1" applyBorder="1" applyAlignment="1">
      <alignment horizontal="center" vertical="center"/>
    </xf>
    <xf numFmtId="166" fontId="6" fillId="4" borderId="11" xfId="0" applyNumberFormat="1" applyFont="1" applyFill="1" applyBorder="1" applyAlignment="1">
      <alignment horizontal="right" vertical="center" indent="1"/>
    </xf>
    <xf numFmtId="4" fontId="6" fillId="4" borderId="11" xfId="0" applyNumberFormat="1" applyFont="1" applyFill="1" applyBorder="1" applyAlignment="1">
      <alignment horizontal="right" vertical="center" indent="1"/>
    </xf>
    <xf numFmtId="10" fontId="5" fillId="4" borderId="11" xfId="0" applyNumberFormat="1" applyFont="1" applyFill="1" applyBorder="1" applyAlignment="1">
      <alignment horizontal="center" vertical="center"/>
    </xf>
    <xf numFmtId="9" fontId="5" fillId="4" borderId="6" xfId="3" applyFont="1" applyFill="1" applyBorder="1" applyAlignment="1">
      <alignment horizontal="center" vertical="center"/>
    </xf>
    <xf numFmtId="166" fontId="6" fillId="4" borderId="2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0" fontId="1" fillId="4" borderId="2" xfId="0" applyFont="1" applyFill="1" applyBorder="1"/>
    <xf numFmtId="10" fontId="5" fillId="4" borderId="2" xfId="0" applyNumberFormat="1" applyFont="1" applyFill="1" applyBorder="1" applyAlignment="1">
      <alignment horizontal="center" vertical="center"/>
    </xf>
    <xf numFmtId="4" fontId="6" fillId="4" borderId="20" xfId="0" applyNumberFormat="1" applyFont="1" applyFill="1" applyBorder="1" applyAlignment="1">
      <alignment horizontal="center" vertical="center"/>
    </xf>
    <xf numFmtId="0" fontId="1" fillId="4" borderId="11" xfId="0" applyFont="1" applyFill="1" applyBorder="1"/>
    <xf numFmtId="0" fontId="4" fillId="4" borderId="0" xfId="0" applyFont="1" applyFill="1" applyBorder="1" applyAlignment="1">
      <alignment vertical="center" wrapText="1"/>
    </xf>
    <xf numFmtId="0" fontId="9" fillId="4" borderId="14" xfId="0" applyNumberFormat="1" applyFont="1" applyFill="1" applyBorder="1" applyAlignment="1">
      <alignment horizontal="right" vertical="center" wrapText="1"/>
    </xf>
    <xf numFmtId="166" fontId="17" fillId="4" borderId="14" xfId="0" applyNumberFormat="1" applyFont="1" applyFill="1" applyBorder="1" applyAlignment="1">
      <alignment horizontal="center" vertical="center"/>
    </xf>
    <xf numFmtId="0" fontId="3" fillId="4" borderId="0" xfId="0" applyFont="1" applyFill="1" applyBorder="1"/>
    <xf numFmtId="0" fontId="16" fillId="4" borderId="17" xfId="0" applyNumberFormat="1" applyFont="1" applyFill="1" applyBorder="1" applyAlignment="1">
      <alignment horizontal="right" vertical="top" wrapText="1"/>
    </xf>
    <xf numFmtId="43" fontId="5" fillId="4" borderId="18" xfId="2" applyFont="1" applyFill="1" applyBorder="1" applyAlignment="1">
      <alignment horizontal="center" vertical="center"/>
    </xf>
    <xf numFmtId="0" fontId="5" fillId="4" borderId="5" xfId="0" applyFont="1" applyFill="1" applyBorder="1"/>
    <xf numFmtId="0" fontId="9" fillId="3" borderId="1" xfId="0" applyFont="1" applyFill="1" applyBorder="1" applyAlignment="1">
      <alignment horizontal="center" vertical="center" wrapText="1"/>
    </xf>
    <xf numFmtId="0" fontId="6" fillId="0" borderId="23" xfId="0" applyNumberFormat="1" applyFont="1" applyFill="1" applyBorder="1" applyAlignment="1">
      <alignment horizontal="center" vertical="center" wrapText="1"/>
    </xf>
    <xf numFmtId="0" fontId="6" fillId="0" borderId="24" xfId="0" applyNumberFormat="1" applyFont="1" applyFill="1" applyBorder="1" applyAlignment="1">
      <alignment horizontal="center" vertical="center" wrapText="1"/>
    </xf>
    <xf numFmtId="0" fontId="6" fillId="0" borderId="25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26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right" vertical="center" wrapText="1"/>
    </xf>
    <xf numFmtId="0" fontId="9" fillId="2" borderId="16" xfId="0" applyFont="1" applyFill="1" applyBorder="1" applyAlignment="1">
      <alignment horizontal="center" vertical="center" wrapText="1"/>
    </xf>
    <xf numFmtId="4" fontId="6" fillId="0" borderId="27" xfId="0" applyNumberFormat="1" applyFont="1" applyFill="1" applyBorder="1" applyAlignment="1">
      <alignment horizontal="center" vertical="center"/>
    </xf>
    <xf numFmtId="4" fontId="6" fillId="0" borderId="28" xfId="0" applyNumberFormat="1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166" fontId="6" fillId="0" borderId="19" xfId="0" applyNumberFormat="1" applyFont="1" applyFill="1" applyBorder="1" applyAlignment="1">
      <alignment horizontal="center" vertical="center"/>
    </xf>
    <xf numFmtId="166" fontId="6" fillId="0" borderId="20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9" fontId="5" fillId="4" borderId="29" xfId="3" applyFont="1" applyFill="1" applyBorder="1" applyAlignment="1">
      <alignment horizontal="center" vertical="center"/>
    </xf>
    <xf numFmtId="166" fontId="6" fillId="4" borderId="30" xfId="0" applyNumberFormat="1" applyFont="1" applyFill="1" applyBorder="1" applyAlignment="1">
      <alignment horizontal="right" vertical="center" indent="1"/>
    </xf>
    <xf numFmtId="4" fontId="6" fillId="4" borderId="30" xfId="0" applyNumberFormat="1" applyFont="1" applyFill="1" applyBorder="1" applyAlignment="1">
      <alignment horizontal="right" vertical="center" indent="1"/>
    </xf>
    <xf numFmtId="0" fontId="1" fillId="4" borderId="30" xfId="0" applyFont="1" applyFill="1" applyBorder="1"/>
    <xf numFmtId="10" fontId="5" fillId="4" borderId="30" xfId="0" applyNumberFormat="1" applyFont="1" applyFill="1" applyBorder="1" applyAlignment="1">
      <alignment horizontal="center" vertical="center"/>
    </xf>
    <xf numFmtId="4" fontId="6" fillId="4" borderId="13" xfId="0" quotePrefix="1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166" fontId="6" fillId="4" borderId="24" xfId="0" applyNumberFormat="1" applyFont="1" applyFill="1" applyBorder="1" applyAlignment="1">
      <alignment horizontal="center" vertical="center"/>
    </xf>
    <xf numFmtId="166" fontId="6" fillId="4" borderId="31" xfId="0" applyNumberFormat="1" applyFont="1" applyFill="1" applyBorder="1" applyAlignment="1">
      <alignment horizontal="center" vertical="center"/>
    </xf>
    <xf numFmtId="166" fontId="6" fillId="4" borderId="28" xfId="0" applyNumberFormat="1" applyFont="1" applyFill="1" applyBorder="1" applyAlignment="1">
      <alignment horizontal="center" vertical="center"/>
    </xf>
    <xf numFmtId="9" fontId="18" fillId="4" borderId="4" xfId="3" applyFont="1" applyFill="1" applyBorder="1" applyAlignment="1">
      <alignment horizontal="left" vertical="center"/>
    </xf>
    <xf numFmtId="9" fontId="18" fillId="4" borderId="15" xfId="3" applyFont="1" applyFill="1" applyBorder="1" applyAlignment="1">
      <alignment horizontal="left" vertical="center"/>
    </xf>
    <xf numFmtId="9" fontId="18" fillId="4" borderId="16" xfId="3" applyFont="1" applyFill="1" applyBorder="1" applyAlignment="1">
      <alignment horizontal="left" vertical="center"/>
    </xf>
    <xf numFmtId="0" fontId="19" fillId="4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15" xfId="2" applyNumberFormat="1" applyFont="1" applyFill="1" applyBorder="1" applyAlignment="1">
      <alignment horizontal="left" vertical="center"/>
    </xf>
    <xf numFmtId="165" fontId="18" fillId="0" borderId="16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15" xfId="3" applyFont="1" applyFill="1" applyBorder="1" applyAlignment="1">
      <alignment horizontal="left" vertical="center"/>
    </xf>
    <xf numFmtId="9" fontId="18" fillId="0" borderId="16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4" fontId="6" fillId="0" borderId="21" xfId="0" applyNumberFormat="1" applyFont="1" applyFill="1" applyBorder="1" applyAlignment="1">
      <alignment horizontal="center" vertical="center"/>
    </xf>
    <xf numFmtId="4" fontId="6" fillId="0" borderId="22" xfId="0" applyNumberFormat="1" applyFont="1" applyFill="1" applyBorder="1" applyAlignment="1">
      <alignment horizontal="center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"/>
  <sheetViews>
    <sheetView tabSelected="1" topLeftCell="A4" workbookViewId="0">
      <selection activeCell="B15" sqref="B15"/>
    </sheetView>
  </sheetViews>
  <sheetFormatPr baseColWidth="10" defaultRowHeight="12.75" x14ac:dyDescent="0.2"/>
  <cols>
    <col min="1" max="1" width="32.85546875" customWidth="1"/>
    <col min="2" max="2" width="24.7109375" customWidth="1"/>
    <col min="3" max="3" width="29.5703125" customWidth="1"/>
    <col min="4" max="4" width="21.140625" customWidth="1"/>
    <col min="5" max="11" width="16.7109375" customWidth="1"/>
    <col min="12" max="12" width="16.140625" customWidth="1"/>
  </cols>
  <sheetData>
    <row r="1" spans="1:12" ht="48" customHeight="1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2" ht="18" x14ac:dyDescent="0.25">
      <c r="A2" s="87" t="str">
        <f>valoración!A3</f>
        <v>PROPUESTA DE ADJUDICACIÓN DEL EXPEDIENTE S-00203-2025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40"/>
    </row>
    <row r="3" spans="1:12" ht="18" x14ac:dyDescent="0.25">
      <c r="A3" s="87" t="str">
        <f>valoración!A4</f>
        <v>"Cables de cámara distintas áreas RTVE"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40"/>
    </row>
    <row r="4" spans="1:12" ht="18" x14ac:dyDescent="0.25">
      <c r="A4" s="87" t="str">
        <f>valoración!A5</f>
        <v>RESUMEN PUNTUACIÓN TÉCNICA Y ECONÓMICA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40"/>
    </row>
    <row r="5" spans="1:12" x14ac:dyDescent="0.2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1:12" ht="13.5" thickBot="1" x14ac:dyDescent="0.25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30.75" customHeight="1" thickBot="1" x14ac:dyDescent="0.25">
      <c r="A7" s="40"/>
      <c r="B7" s="40"/>
      <c r="C7" s="40"/>
      <c r="D7" s="40"/>
      <c r="E7" s="84" t="s">
        <v>37</v>
      </c>
      <c r="F7" s="85"/>
      <c r="G7" s="85"/>
      <c r="H7" s="85"/>
      <c r="I7" s="85"/>
      <c r="J7" s="85"/>
      <c r="K7" s="86"/>
      <c r="L7" s="40"/>
    </row>
    <row r="8" spans="1:12" ht="6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16</v>
      </c>
      <c r="F8" s="16" t="s">
        <v>19</v>
      </c>
      <c r="G8" s="17" t="s">
        <v>1</v>
      </c>
      <c r="H8" s="17" t="s">
        <v>17</v>
      </c>
      <c r="I8" s="17" t="s">
        <v>10</v>
      </c>
      <c r="J8" s="17" t="s">
        <v>11</v>
      </c>
      <c r="K8" s="18" t="s">
        <v>12</v>
      </c>
      <c r="L8" s="17" t="s">
        <v>21</v>
      </c>
    </row>
    <row r="9" spans="1:12" ht="35.1" customHeight="1" x14ac:dyDescent="0.2">
      <c r="A9" s="79" t="s">
        <v>31</v>
      </c>
      <c r="B9" s="60" t="s">
        <v>24</v>
      </c>
      <c r="C9" s="70">
        <v>262300</v>
      </c>
      <c r="D9" s="67">
        <v>31</v>
      </c>
      <c r="E9" s="45"/>
      <c r="F9" s="46">
        <v>198472.05</v>
      </c>
      <c r="G9" s="47">
        <v>64.258425609550557</v>
      </c>
      <c r="H9" s="47">
        <v>95.258425609550557</v>
      </c>
      <c r="I9" s="48"/>
      <c r="J9" s="49"/>
      <c r="K9" s="27">
        <f>+H9*J9</f>
        <v>0</v>
      </c>
      <c r="L9" s="50">
        <f>100-($F9*100/$C9)</f>
        <v>24.333949675943572</v>
      </c>
    </row>
    <row r="10" spans="1:12" ht="35.1" customHeight="1" thickBot="1" x14ac:dyDescent="0.25">
      <c r="A10" s="80"/>
      <c r="B10" s="61" t="s">
        <v>25</v>
      </c>
      <c r="C10" s="71">
        <v>262300</v>
      </c>
      <c r="D10" s="68">
        <v>31</v>
      </c>
      <c r="E10" s="45">
        <v>0.03</v>
      </c>
      <c r="F10" s="46">
        <v>184833.35449999999</v>
      </c>
      <c r="G10" s="47">
        <v>69</v>
      </c>
      <c r="H10" s="47">
        <v>100</v>
      </c>
      <c r="I10" s="48">
        <v>1</v>
      </c>
      <c r="J10" s="49">
        <v>0.88352196173538133</v>
      </c>
      <c r="K10" s="29">
        <f>+H10*J10</f>
        <v>88.352196173538132</v>
      </c>
      <c r="L10" s="50">
        <f>100-($F10*100/$C10)</f>
        <v>29.533604841784225</v>
      </c>
    </row>
    <row r="11" spans="1:12" ht="35.1" customHeight="1" x14ac:dyDescent="0.2">
      <c r="A11" s="79" t="s">
        <v>32</v>
      </c>
      <c r="B11" s="60" t="s">
        <v>26</v>
      </c>
      <c r="C11" s="70">
        <v>15920</v>
      </c>
      <c r="D11" s="67">
        <v>26</v>
      </c>
      <c r="E11" s="73"/>
      <c r="F11" s="74">
        <v>15728.6</v>
      </c>
      <c r="G11" s="75">
        <v>54.924931780323739</v>
      </c>
      <c r="H11" s="75">
        <v>80.924931780323732</v>
      </c>
      <c r="I11" s="76"/>
      <c r="J11" s="77"/>
      <c r="K11" s="27">
        <f>+H11*J11</f>
        <v>0</v>
      </c>
      <c r="L11" s="50">
        <f>100-($F11*100/$C11)</f>
        <v>1.2022613065326624</v>
      </c>
    </row>
    <row r="12" spans="1:12" ht="35.1" customHeight="1" thickBot="1" x14ac:dyDescent="0.25">
      <c r="A12" s="80"/>
      <c r="B12" s="62" t="s">
        <v>25</v>
      </c>
      <c r="C12" s="71">
        <v>15920</v>
      </c>
      <c r="D12" s="68">
        <v>28</v>
      </c>
      <c r="E12" s="73">
        <v>0.03</v>
      </c>
      <c r="F12" s="74">
        <v>12520.178</v>
      </c>
      <c r="G12" s="75">
        <v>69</v>
      </c>
      <c r="H12" s="75">
        <v>97</v>
      </c>
      <c r="I12" s="76">
        <v>1</v>
      </c>
      <c r="J12" s="77">
        <v>5.3624360010778763E-2</v>
      </c>
      <c r="K12" s="29">
        <f t="shared" ref="K12" si="0">+H12*J12</f>
        <v>5.2015629210455403</v>
      </c>
      <c r="L12" s="50">
        <f t="shared" ref="L12:L14" si="1">100-($F12*100/$C12)</f>
        <v>21.355665829145721</v>
      </c>
    </row>
    <row r="13" spans="1:12" ht="45.75" thickBot="1" x14ac:dyDescent="0.25">
      <c r="A13" s="72" t="s">
        <v>33</v>
      </c>
      <c r="B13" s="63" t="s">
        <v>25</v>
      </c>
      <c r="C13" s="70">
        <v>17000</v>
      </c>
      <c r="D13" s="67">
        <v>28</v>
      </c>
      <c r="E13" s="73">
        <v>0.03</v>
      </c>
      <c r="F13" s="74">
        <v>13827.834999999999</v>
      </c>
      <c r="G13" s="75">
        <v>69</v>
      </c>
      <c r="H13" s="75">
        <v>97</v>
      </c>
      <c r="I13" s="76">
        <v>1</v>
      </c>
      <c r="J13" s="77">
        <v>5.7262193478846674E-2</v>
      </c>
      <c r="K13" s="27">
        <f>+H13*J13</f>
        <v>5.5544327674481275</v>
      </c>
      <c r="L13" s="50">
        <f t="shared" si="1"/>
        <v>18.659794117647053</v>
      </c>
    </row>
    <row r="14" spans="1:12" ht="35.1" customHeight="1" x14ac:dyDescent="0.2">
      <c r="A14" s="79" t="s">
        <v>34</v>
      </c>
      <c r="B14" s="64" t="s">
        <v>25</v>
      </c>
      <c r="C14" s="70">
        <v>1660</v>
      </c>
      <c r="D14" s="67">
        <v>28</v>
      </c>
      <c r="E14" s="41">
        <v>0.03</v>
      </c>
      <c r="F14" s="42">
        <v>754.57270000000005</v>
      </c>
      <c r="G14" s="43">
        <v>69</v>
      </c>
      <c r="H14" s="43">
        <v>97</v>
      </c>
      <c r="I14" s="51">
        <v>1</v>
      </c>
      <c r="J14" s="44">
        <v>5.591484774993263E-3</v>
      </c>
      <c r="K14" s="27">
        <f>+H14*J14</f>
        <v>0.54237402317434646</v>
      </c>
      <c r="L14" s="50">
        <f t="shared" si="1"/>
        <v>54.543813253012047</v>
      </c>
    </row>
    <row r="15" spans="1:12" ht="35.1" customHeight="1" thickBot="1" x14ac:dyDescent="0.25">
      <c r="A15" s="80"/>
      <c r="B15" s="61" t="s">
        <v>27</v>
      </c>
      <c r="C15" s="71">
        <v>1660</v>
      </c>
      <c r="D15" s="78" t="s">
        <v>35</v>
      </c>
      <c r="E15" s="81" t="s">
        <v>30</v>
      </c>
      <c r="F15" s="82"/>
      <c r="G15" s="82"/>
      <c r="H15" s="82"/>
      <c r="I15" s="82"/>
      <c r="J15" s="82"/>
      <c r="K15" s="83"/>
      <c r="L15" s="50"/>
    </row>
    <row r="16" spans="1:12" ht="41.25" thickBot="1" x14ac:dyDescent="0.25">
      <c r="A16" s="52"/>
      <c r="B16" s="53" t="s">
        <v>13</v>
      </c>
      <c r="C16" s="54">
        <f>C10+C11+C13+C14</f>
        <v>296880</v>
      </c>
      <c r="D16" s="55"/>
      <c r="E16" s="55"/>
      <c r="F16" s="55"/>
      <c r="G16" s="55"/>
      <c r="H16" s="55"/>
      <c r="I16" s="55"/>
      <c r="J16" s="56" t="s">
        <v>20</v>
      </c>
      <c r="K16" s="57">
        <f>SUM(K9:K15)</f>
        <v>99.650565885206149</v>
      </c>
      <c r="L16" s="40"/>
    </row>
    <row r="17" spans="1:12" x14ac:dyDescent="0.2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</row>
    <row r="18" spans="1:12" x14ac:dyDescent="0.2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</row>
    <row r="19" spans="1:12" ht="14.25" x14ac:dyDescent="0.2">
      <c r="A19" s="58" t="s">
        <v>2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2" ht="14.25" x14ac:dyDescent="0.2">
      <c r="A20" s="58" t="s">
        <v>36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</row>
    <row r="21" spans="1:12" x14ac:dyDescent="0.2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</row>
  </sheetData>
  <mergeCells count="8">
    <mergeCell ref="A11:A12"/>
    <mergeCell ref="A14:A15"/>
    <mergeCell ref="E15:K15"/>
    <mergeCell ref="E7:K7"/>
    <mergeCell ref="A2:K2"/>
    <mergeCell ref="A3:K3"/>
    <mergeCell ref="A4:K4"/>
    <mergeCell ref="A9:A10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2"/>
  <sheetViews>
    <sheetView showGridLines="0" showZeros="0" zoomScaleNormal="100" workbookViewId="0">
      <selection activeCell="E20" sqref="E20"/>
    </sheetView>
  </sheetViews>
  <sheetFormatPr baseColWidth="10" defaultRowHeight="15" x14ac:dyDescent="0.2"/>
  <cols>
    <col min="1" max="1" width="32.140625" style="9" customWidth="1"/>
    <col min="2" max="2" width="30.28515625" style="10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1" x14ac:dyDescent="0.2">
      <c r="T1" s="12" t="s">
        <v>7</v>
      </c>
    </row>
    <row r="2" spans="1:21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18</v>
      </c>
      <c r="U2" s="14">
        <v>69</v>
      </c>
    </row>
    <row r="3" spans="1:21" s="3" customFormat="1" ht="22.5" customHeight="1" x14ac:dyDescent="0.15">
      <c r="A3" s="95" t="s">
        <v>22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T3" s="24" t="s">
        <v>9</v>
      </c>
    </row>
    <row r="4" spans="1:21" s="3" customFormat="1" ht="22.5" customHeight="1" x14ac:dyDescent="0.15">
      <c r="A4" s="95" t="s">
        <v>23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</row>
    <row r="5" spans="1:21" s="3" customFormat="1" ht="24.6" customHeight="1" x14ac:dyDescent="0.15">
      <c r="A5" s="95" t="s">
        <v>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</row>
    <row r="6" spans="1:21" s="3" customFormat="1" ht="24.6" customHeight="1" thickBot="1" x14ac:dyDescent="0.2">
      <c r="A6" s="23"/>
      <c r="B6" s="23"/>
      <c r="C6" s="23"/>
      <c r="D6" s="23"/>
      <c r="E6" s="23"/>
      <c r="F6" s="23"/>
      <c r="G6" s="23"/>
      <c r="H6" s="4"/>
    </row>
    <row r="7" spans="1:21" s="3" customFormat="1" ht="24.75" customHeight="1" thickBot="1" x14ac:dyDescent="0.3">
      <c r="A7" s="2"/>
      <c r="B7" s="6"/>
      <c r="C7" s="7"/>
      <c r="D7" s="7"/>
      <c r="E7" s="89" t="s">
        <v>15</v>
      </c>
      <c r="F7" s="90"/>
      <c r="G7" s="90"/>
      <c r="H7" s="90"/>
      <c r="I7" s="90"/>
      <c r="J7" s="91"/>
      <c r="K7" s="92" t="s">
        <v>37</v>
      </c>
      <c r="L7" s="93"/>
      <c r="M7" s="93"/>
      <c r="N7" s="93"/>
      <c r="O7" s="93"/>
      <c r="P7" s="93"/>
      <c r="Q7" s="94"/>
    </row>
    <row r="8" spans="1:21" s="8" customFormat="1" ht="30.75" thickBot="1" x14ac:dyDescent="0.25">
      <c r="A8" s="15" t="s">
        <v>4</v>
      </c>
      <c r="B8" s="15" t="s">
        <v>5</v>
      </c>
      <c r="C8" s="69" t="s">
        <v>29</v>
      </c>
      <c r="D8" s="66" t="s">
        <v>0</v>
      </c>
      <c r="E8" s="16" t="s">
        <v>28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28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1" s="3" customFormat="1" ht="35.1" customHeight="1" thickBot="1" x14ac:dyDescent="0.2">
      <c r="A9" s="79" t="s">
        <v>31</v>
      </c>
      <c r="B9" s="60" t="s">
        <v>24</v>
      </c>
      <c r="C9" s="70">
        <v>262300</v>
      </c>
      <c r="D9" s="67">
        <v>31</v>
      </c>
      <c r="E9" s="19">
        <v>198472.05</v>
      </c>
      <c r="F9" s="20">
        <f>$U$2*(MIN(E$9:E$10)/E9)</f>
        <v>66.245799597474814</v>
      </c>
      <c r="G9" s="20">
        <f>D9+F9</f>
        <v>97.245799597474814</v>
      </c>
      <c r="H9" s="31"/>
      <c r="I9" s="26">
        <f t="shared" ref="I9:I15" si="0">+$C9/$C$16*H9</f>
        <v>0</v>
      </c>
      <c r="J9" s="27">
        <f t="shared" ref="J9:J15" si="1">+G9*I9</f>
        <v>0</v>
      </c>
      <c r="K9" s="33"/>
      <c r="L9" s="34">
        <f>+$E9*(1-K9)</f>
        <v>198472.05</v>
      </c>
      <c r="M9" s="20">
        <f>$U$2*(MIN(L$9:L$10)/L9)</f>
        <v>64.258425609550557</v>
      </c>
      <c r="N9" s="20">
        <f>$D9+M9</f>
        <v>95.258425609550557</v>
      </c>
      <c r="O9" s="25"/>
      <c r="P9" s="26">
        <f t="shared" ref="P9:P15" si="2">+$C9/$C$16*O9</f>
        <v>0</v>
      </c>
      <c r="Q9" s="27">
        <f>+N9*P9</f>
        <v>0</v>
      </c>
    </row>
    <row r="10" spans="1:21" s="3" customFormat="1" ht="35.1" customHeight="1" thickBot="1" x14ac:dyDescent="0.2">
      <c r="A10" s="80"/>
      <c r="B10" s="61" t="s">
        <v>25</v>
      </c>
      <c r="C10" s="71">
        <v>262300</v>
      </c>
      <c r="D10" s="68">
        <v>31</v>
      </c>
      <c r="E10" s="19">
        <v>190549.85</v>
      </c>
      <c r="F10" s="20">
        <f>$U$2*(MIN(E$9:E$10)/E10)</f>
        <v>69</v>
      </c>
      <c r="G10" s="20">
        <f>D10+F10</f>
        <v>100</v>
      </c>
      <c r="H10" s="32">
        <v>1</v>
      </c>
      <c r="I10" s="28">
        <f t="shared" si="0"/>
        <v>0.88352196173538133</v>
      </c>
      <c r="J10" s="29">
        <f t="shared" si="1"/>
        <v>88.352196173538132</v>
      </c>
      <c r="K10" s="35">
        <v>0.03</v>
      </c>
      <c r="L10" s="36">
        <f>+$E10*(1-K10)</f>
        <v>184833.35449999999</v>
      </c>
      <c r="M10" s="20">
        <f>$U$2*(MIN(L$9:L$10)/L10)</f>
        <v>69</v>
      </c>
      <c r="N10" s="22">
        <f>$D10+M10</f>
        <v>100</v>
      </c>
      <c r="O10" s="25">
        <v>1</v>
      </c>
      <c r="P10" s="28">
        <f t="shared" si="2"/>
        <v>0.88352196173538133</v>
      </c>
      <c r="Q10" s="29">
        <f>+N10*P10</f>
        <v>88.352196173538132</v>
      </c>
    </row>
    <row r="11" spans="1:21" s="3" customFormat="1" ht="35.1" customHeight="1" thickBot="1" x14ac:dyDescent="0.2">
      <c r="A11" s="79" t="s">
        <v>32</v>
      </c>
      <c r="B11" s="60" t="s">
        <v>26</v>
      </c>
      <c r="C11" s="70">
        <v>15920</v>
      </c>
      <c r="D11" s="67">
        <v>26</v>
      </c>
      <c r="E11" s="19">
        <v>15728.6</v>
      </c>
      <c r="F11" s="20">
        <f>$U$2*(MIN(E$11:E$12)/E11)</f>
        <v>56.623641010643027</v>
      </c>
      <c r="G11" s="20">
        <f t="shared" ref="G11:G12" si="3">D11+F11</f>
        <v>82.623641010643027</v>
      </c>
      <c r="H11" s="31"/>
      <c r="I11" s="26">
        <f t="shared" si="0"/>
        <v>0</v>
      </c>
      <c r="J11" s="27">
        <f t="shared" si="1"/>
        <v>0</v>
      </c>
      <c r="K11" s="33"/>
      <c r="L11" s="34">
        <f t="shared" ref="L11:L15" si="4">+$E11*(1-K11)</f>
        <v>15728.6</v>
      </c>
      <c r="M11" s="20">
        <f>$U$2*(MIN(L$11:L$12)/L11)</f>
        <v>54.924931780323739</v>
      </c>
      <c r="N11" s="20">
        <f t="shared" ref="N11:N14" si="5">$D11+M11</f>
        <v>80.924931780323732</v>
      </c>
      <c r="O11" s="25"/>
      <c r="P11" s="26">
        <f t="shared" si="2"/>
        <v>0</v>
      </c>
      <c r="Q11" s="27">
        <f>+N11*P11</f>
        <v>0</v>
      </c>
    </row>
    <row r="12" spans="1:21" s="3" customFormat="1" ht="35.1" customHeight="1" thickBot="1" x14ac:dyDescent="0.2">
      <c r="A12" s="80"/>
      <c r="B12" s="62" t="s">
        <v>25</v>
      </c>
      <c r="C12" s="71">
        <v>15920</v>
      </c>
      <c r="D12" s="68">
        <v>28</v>
      </c>
      <c r="E12" s="21">
        <v>12907.4</v>
      </c>
      <c r="F12" s="20">
        <f>$U$2*(MIN(E$11:E$12)/E12)</f>
        <v>69</v>
      </c>
      <c r="G12" s="22">
        <f t="shared" si="3"/>
        <v>97</v>
      </c>
      <c r="H12" s="32">
        <v>1</v>
      </c>
      <c r="I12" s="28">
        <f t="shared" si="0"/>
        <v>5.3624360010778763E-2</v>
      </c>
      <c r="J12" s="29">
        <f t="shared" si="1"/>
        <v>5.2015629210455403</v>
      </c>
      <c r="K12" s="35">
        <v>0.03</v>
      </c>
      <c r="L12" s="36">
        <f t="shared" si="4"/>
        <v>12520.178</v>
      </c>
      <c r="M12" s="20">
        <f>$U$2*(MIN(L$11:L$12)/L12)</f>
        <v>69</v>
      </c>
      <c r="N12" s="22">
        <f t="shared" si="5"/>
        <v>97</v>
      </c>
      <c r="O12" s="25">
        <v>1</v>
      </c>
      <c r="P12" s="28">
        <f t="shared" si="2"/>
        <v>5.3624360010778763E-2</v>
      </c>
      <c r="Q12" s="29">
        <f t="shared" ref="Q12" si="6">+N12*P12</f>
        <v>5.2015629210455403</v>
      </c>
    </row>
    <row r="13" spans="1:21" s="3" customFormat="1" ht="51" customHeight="1" thickBot="1" x14ac:dyDescent="0.2">
      <c r="A13" s="59" t="s">
        <v>33</v>
      </c>
      <c r="B13" s="63" t="s">
        <v>25</v>
      </c>
      <c r="C13" s="70">
        <v>17000</v>
      </c>
      <c r="D13" s="67">
        <v>28</v>
      </c>
      <c r="E13" s="19">
        <v>14255.5</v>
      </c>
      <c r="F13" s="20">
        <f>$U$2*(MIN(E$13)/E13)</f>
        <v>69</v>
      </c>
      <c r="G13" s="22">
        <f>D13+F13</f>
        <v>97</v>
      </c>
      <c r="H13" s="31">
        <v>1</v>
      </c>
      <c r="I13" s="26">
        <f t="shared" si="0"/>
        <v>5.7262193478846674E-2</v>
      </c>
      <c r="J13" s="29">
        <f>+G13*I13</f>
        <v>5.5544327674481275</v>
      </c>
      <c r="K13" s="33">
        <v>0.03</v>
      </c>
      <c r="L13" s="34">
        <f>+$E13*(1-K13)</f>
        <v>13827.834999999999</v>
      </c>
      <c r="M13" s="20">
        <f>$U$2*(MIN(L$13)/L13)</f>
        <v>69</v>
      </c>
      <c r="N13" s="20">
        <f>$D13+M13</f>
        <v>97</v>
      </c>
      <c r="O13" s="25">
        <v>1</v>
      </c>
      <c r="P13" s="26">
        <f t="shared" si="2"/>
        <v>5.7262193478846674E-2</v>
      </c>
      <c r="Q13" s="27">
        <f>+N13*P13</f>
        <v>5.5544327674481275</v>
      </c>
    </row>
    <row r="14" spans="1:21" s="3" customFormat="1" ht="35.1" customHeight="1" x14ac:dyDescent="0.15">
      <c r="A14" s="79" t="s">
        <v>34</v>
      </c>
      <c r="B14" s="64" t="s">
        <v>25</v>
      </c>
      <c r="C14" s="70">
        <v>1660</v>
      </c>
      <c r="D14" s="67">
        <v>28</v>
      </c>
      <c r="E14" s="19">
        <v>777.91</v>
      </c>
      <c r="F14" s="20">
        <f>$U$2*(MIN(E$14:E$15)/E14)</f>
        <v>69</v>
      </c>
      <c r="G14" s="39">
        <f>D14+F14</f>
        <v>97</v>
      </c>
      <c r="H14" s="31">
        <v>1</v>
      </c>
      <c r="I14" s="26">
        <f t="shared" si="0"/>
        <v>5.591484774993263E-3</v>
      </c>
      <c r="J14" s="27">
        <f t="shared" si="1"/>
        <v>0.54237402317434646</v>
      </c>
      <c r="K14" s="33">
        <v>0.03</v>
      </c>
      <c r="L14" s="34">
        <f t="shared" si="4"/>
        <v>754.57269999999994</v>
      </c>
      <c r="M14" s="20">
        <f>$U$2*(MIN(L$14)/L14)</f>
        <v>69</v>
      </c>
      <c r="N14" s="20">
        <f t="shared" si="5"/>
        <v>97</v>
      </c>
      <c r="O14" s="25">
        <v>1</v>
      </c>
      <c r="P14" s="26">
        <f t="shared" si="2"/>
        <v>5.591484774993263E-3</v>
      </c>
      <c r="Q14" s="27">
        <f>+N14*P14</f>
        <v>0.54237402317434646</v>
      </c>
    </row>
    <row r="15" spans="1:21" s="3" customFormat="1" ht="35.1" customHeight="1" thickBot="1" x14ac:dyDescent="0.2">
      <c r="A15" s="80"/>
      <c r="B15" s="61" t="s">
        <v>27</v>
      </c>
      <c r="C15" s="71">
        <v>1660</v>
      </c>
      <c r="D15" s="96" t="s">
        <v>30</v>
      </c>
      <c r="E15" s="96"/>
      <c r="F15" s="96"/>
      <c r="G15" s="97"/>
      <c r="H15" s="32"/>
      <c r="I15" s="28">
        <f t="shared" si="0"/>
        <v>0</v>
      </c>
      <c r="J15" s="29">
        <f t="shared" si="1"/>
        <v>0</v>
      </c>
      <c r="K15" s="28"/>
      <c r="L15" s="28">
        <f t="shared" si="4"/>
        <v>0</v>
      </c>
      <c r="M15" s="28"/>
      <c r="N15" s="28"/>
      <c r="O15" s="35"/>
      <c r="P15" s="28">
        <f t="shared" si="2"/>
        <v>0</v>
      </c>
      <c r="Q15" s="29"/>
    </row>
    <row r="16" spans="1:21" ht="42.75" customHeight="1" thickBot="1" x14ac:dyDescent="0.25">
      <c r="B16" s="65" t="s">
        <v>13</v>
      </c>
      <c r="C16" s="30">
        <f>C9+C11++C13+C14</f>
        <v>296880</v>
      </c>
      <c r="I16" s="37" t="s">
        <v>14</v>
      </c>
      <c r="J16" s="38">
        <f>SUM(J9:J15)</f>
        <v>99.650565885206149</v>
      </c>
      <c r="P16" s="37" t="s">
        <v>14</v>
      </c>
      <c r="Q16" s="38">
        <f>SUM(Q9:Q15)</f>
        <v>99.650565885206149</v>
      </c>
    </row>
    <row r="19" spans="1:7" ht="14.25" x14ac:dyDescent="0.2">
      <c r="A19" s="1" t="s">
        <v>2</v>
      </c>
    </row>
    <row r="20" spans="1:7" ht="14.25" x14ac:dyDescent="0.2">
      <c r="A20" s="1" t="s">
        <v>36</v>
      </c>
    </row>
    <row r="22" spans="1:7" ht="56.25" customHeight="1" x14ac:dyDescent="0.2">
      <c r="A22" s="88"/>
      <c r="B22" s="88"/>
      <c r="C22" s="88"/>
      <c r="D22" s="88"/>
      <c r="E22" s="88"/>
      <c r="F22" s="88"/>
      <c r="G22" s="88"/>
    </row>
  </sheetData>
  <mergeCells count="10">
    <mergeCell ref="A22:G22"/>
    <mergeCell ref="E7:J7"/>
    <mergeCell ref="K7:Q7"/>
    <mergeCell ref="A3:Q3"/>
    <mergeCell ref="A4:Q4"/>
    <mergeCell ref="A5:Q5"/>
    <mergeCell ref="D15:G15"/>
    <mergeCell ref="A11:A12"/>
    <mergeCell ref="A9:A10"/>
    <mergeCell ref="A14:A1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RTVE</dc:creator>
  <cp:lastModifiedBy>NURIA SANTOME RODRIGUEZ</cp:lastModifiedBy>
  <cp:lastPrinted>2021-11-19T11:28:43Z</cp:lastPrinted>
  <dcterms:created xsi:type="dcterms:W3CDTF">2007-03-30T09:59:06Z</dcterms:created>
  <dcterms:modified xsi:type="dcterms:W3CDTF">2025-05-30T09:34:59Z</dcterms:modified>
</cp:coreProperties>
</file>