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2.- EXPEDIENTES COMITE\4.- ADJUDICACIÓN\S-00602-2025 - Servicios CDN\Informe\"/>
    </mc:Choice>
  </mc:AlternateContent>
  <xr:revisionPtr revIDLastSave="0" documentId="13_ncr:1_{30EBB089-311A-4519-8554-43AF6169286F}" xr6:coauthVersionLast="47" xr6:coauthVersionMax="47" xr10:uidLastSave="{00000000-0000-0000-0000-000000000000}"/>
  <bookViews>
    <workbookView xWindow="885" yWindow="1440" windowWidth="21600" windowHeight="11295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ADJUDICADA'!$A$1:$L$18</definedName>
    <definedName name="_xlnm.Print_Area" localSheetId="1">valoración!$A$2:$X$18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3" i="5" l="1"/>
  <c r="T12" i="5"/>
  <c r="T11" i="5"/>
  <c r="T10" i="5"/>
  <c r="T9" i="5"/>
  <c r="H10" i="6"/>
  <c r="K9" i="6"/>
  <c r="H13" i="6"/>
  <c r="K13" i="6" s="1"/>
  <c r="H12" i="6"/>
  <c r="H11" i="6"/>
  <c r="H9" i="6"/>
  <c r="D13" i="6"/>
  <c r="D11" i="6"/>
  <c r="D9" i="6"/>
  <c r="D11" i="5"/>
  <c r="D13" i="5"/>
  <c r="K12" i="6"/>
  <c r="K11" i="6"/>
  <c r="K10" i="6"/>
  <c r="L9" i="6"/>
  <c r="L12" i="6"/>
  <c r="L10" i="6"/>
  <c r="J13" i="6"/>
  <c r="J12" i="6"/>
  <c r="J11" i="6"/>
  <c r="J10" i="6"/>
  <c r="J9" i="6"/>
  <c r="C14" i="6"/>
  <c r="S10" i="5"/>
  <c r="N12" i="5"/>
  <c r="P13" i="5"/>
  <c r="P11" i="5"/>
  <c r="D9" i="5"/>
  <c r="C14" i="5"/>
  <c r="K14" i="6" l="1"/>
  <c r="F13" i="5"/>
  <c r="F12" i="5"/>
  <c r="F11" i="5"/>
  <c r="F10" i="5"/>
  <c r="F9" i="5"/>
  <c r="G9" i="5" s="1"/>
  <c r="L13" i="6" l="1"/>
  <c r="L11" i="6"/>
  <c r="A4" i="6" l="1"/>
  <c r="A3" i="6"/>
  <c r="A2" i="6"/>
  <c r="W13" i="5" l="1"/>
  <c r="S13" i="5"/>
  <c r="L13" i="5"/>
  <c r="G13" i="5"/>
  <c r="S12" i="5"/>
  <c r="L12" i="5"/>
  <c r="G12" i="5"/>
  <c r="S11" i="5"/>
  <c r="L11" i="5"/>
  <c r="G11" i="5"/>
  <c r="L10" i="5"/>
  <c r="G10" i="5"/>
  <c r="S9" i="5"/>
  <c r="L9" i="5"/>
  <c r="U11" i="5" l="1"/>
  <c r="W9" i="5"/>
  <c r="P12" i="5"/>
  <c r="I11" i="5"/>
  <c r="J11" i="5" s="1"/>
  <c r="W12" i="5"/>
  <c r="I10" i="5"/>
  <c r="I9" i="5"/>
  <c r="J9" i="5" s="1"/>
  <c r="P10" i="5"/>
  <c r="W11" i="5"/>
  <c r="X11" i="5" s="1"/>
  <c r="I13" i="5"/>
  <c r="J13" i="5" s="1"/>
  <c r="P9" i="5"/>
  <c r="W10" i="5"/>
  <c r="I12" i="5"/>
  <c r="J12" i="5" s="1"/>
  <c r="J10" i="5"/>
  <c r="U12" i="5"/>
  <c r="M13" i="5"/>
  <c r="N13" i="5" s="1"/>
  <c r="U10" i="5"/>
  <c r="U13" i="5"/>
  <c r="X13" i="5" s="1"/>
  <c r="M12" i="5"/>
  <c r="M9" i="5"/>
  <c r="N9" i="5" s="1"/>
  <c r="M11" i="5"/>
  <c r="N11" i="5" s="1"/>
  <c r="Q11" i="5" s="1"/>
  <c r="M10" i="5"/>
  <c r="N10" i="5" s="1"/>
  <c r="U9" i="5"/>
  <c r="X12" i="5" l="1"/>
  <c r="J14" i="5"/>
  <c r="X9" i="5"/>
  <c r="Q12" i="5"/>
  <c r="X10" i="5"/>
  <c r="Q13" i="5"/>
  <c r="Q10" i="5"/>
  <c r="Q9" i="5"/>
  <c r="Q14" i="5" l="1"/>
  <c r="X14" i="5"/>
</calcChain>
</file>

<file path=xl/sharedStrings.xml><?xml version="1.0" encoding="utf-8"?>
<sst xmlns="http://schemas.openxmlformats.org/spreadsheetml/2006/main" count="72" uniqueCount="34">
  <si>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</si>
  <si>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</si>
  <si>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</si>
  <si>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</si>
  <si>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</si>
  <si>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</si>
  <si>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</si>
  <si>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</si>
  <si>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</si>
  <si>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</si>
  <si>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</si>
  <si>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</si>
  <si>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</si>
  <si>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</si>
  <si>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</si>
  <si>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</si>
  <si>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</si>
  <si>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</si>
  <si>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</si>
  <si>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</si>
  <si>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</si>
  <si>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Alternativa 2: oferta conjunta "Telefonica" por los  lotes 2 y 3</t>
  </si>
  <si>
    <t>CROSSPOINT SA</t>
  </si>
  <si>
    <t>TELEFONICA SOL SAU</t>
  </si>
  <si>
    <t xml:space="preserve">LOTE 1: Distribución de contenido Web	</t>
  </si>
  <si>
    <t>LOTE 2: Distribución de vídeo y audio en directo</t>
  </si>
  <si>
    <t>LOTE 3: Distribución vídeo y audio bajo demanda</t>
  </si>
  <si>
    <r>
      <t>Importe Oferta</t>
    </r>
    <r>
      <rPr>
        <b/>
        <i/>
        <sz val="12"/>
        <rFont val="Tahoma"/>
        <family val="2"/>
      </rPr>
      <t xml:space="preserve"> </t>
    </r>
  </si>
  <si>
    <t>PROPUESTA DE ADJUDICACIÓN DEL EXPEDIENTE S-00602-2025</t>
  </si>
  <si>
    <t>"Servicios CDN"</t>
  </si>
  <si>
    <t>Alternativa 3: oferta conjunta "Crosspoint" por los  lotes 2 y 3</t>
  </si>
  <si>
    <t xml:space="preserve">Importe Oferta </t>
  </si>
  <si>
    <t>Madrid, a 12 de junio de 2025</t>
  </si>
  <si>
    <t>Madrid, a 26 de junio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</si>
</sst>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88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4" fontId="6" fillId="0" borderId="12" xfId="0" applyNumberFormat="1" applyFont="1" applyFill="1" applyBorder="1" applyAlignment="1">
      <alignment horizontal="center" vertical="center"/>
    </xf>
    <xf numFmtId="4" fontId="6" fillId="0" borderId="11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1" xfId="2" applyNumberFormat="1" applyFont="1" applyFill="1" applyBorder="1" applyAlignment="1">
      <alignment horizontal="center" vertical="center"/>
    </xf>
    <xf numFmtId="10" fontId="5" fillId="0" borderId="11" xfId="0" applyNumberFormat="1" applyFont="1" applyFill="1" applyBorder="1" applyAlignment="1">
      <alignment horizontal="center" vertical="center"/>
    </xf>
    <xf numFmtId="43" fontId="5" fillId="0" borderId="12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0" fontId="9" fillId="0" borderId="14" xfId="0" applyNumberFormat="1" applyFont="1" applyFill="1" applyBorder="1" applyAlignment="1">
      <alignment horizontal="right" vertical="center" wrapText="1"/>
    </xf>
    <xf numFmtId="166" fontId="17" fillId="0" borderId="14" xfId="0" applyNumberFormat="1" applyFont="1" applyFill="1" applyBorder="1" applyAlignment="1">
      <alignment horizontal="center" vertical="center"/>
    </xf>
    <xf numFmtId="165" fontId="5" fillId="0" borderId="10" xfId="2" applyNumberFormat="1" applyFont="1" applyFill="1" applyBorder="1" applyAlignment="1">
      <alignment horizontal="center" vertical="center"/>
    </xf>
    <xf numFmtId="165" fontId="5" fillId="0" borderId="6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1" xfId="0" applyFont="1" applyFill="1" applyBorder="1"/>
    <xf numFmtId="9" fontId="5" fillId="0" borderId="10" xfId="3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9" fontId="5" fillId="0" borderId="6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0" fontId="16" fillId="0" borderId="17" xfId="0" applyNumberFormat="1" applyFont="1" applyFill="1" applyBorder="1" applyAlignment="1">
      <alignment horizontal="left" vertical="top" wrapText="1"/>
    </xf>
    <xf numFmtId="43" fontId="5" fillId="0" borderId="18" xfId="2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right" vertical="center" indent="1"/>
    </xf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0" fillId="5" borderId="0" xfId="0" applyFill="1"/>
    <xf numFmtId="9" fontId="5" fillId="5" borderId="10" xfId="3" applyFont="1" applyFill="1" applyBorder="1" applyAlignment="1">
      <alignment horizontal="center" vertical="center"/>
    </xf>
    <xf numFmtId="166" fontId="6" fillId="5" borderId="11" xfId="0" applyNumberFormat="1" applyFont="1" applyFill="1" applyBorder="1" applyAlignment="1">
      <alignment horizontal="right" vertical="center" indent="1"/>
    </xf>
    <xf numFmtId="4" fontId="6" fillId="5" borderId="11" xfId="0" applyNumberFormat="1" applyFont="1" applyFill="1" applyBorder="1" applyAlignment="1">
      <alignment horizontal="right" vertical="center" indent="1"/>
    </xf>
    <xf numFmtId="9" fontId="5" fillId="5" borderId="6" xfId="3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0" fontId="1" fillId="5" borderId="2" xfId="0" applyFont="1" applyFill="1" applyBorder="1"/>
    <xf numFmtId="4" fontId="6" fillId="5" borderId="20" xfId="0" applyNumberFormat="1" applyFont="1" applyFill="1" applyBorder="1" applyAlignment="1">
      <alignment horizontal="center" vertical="center"/>
    </xf>
    <xf numFmtId="165" fontId="5" fillId="5" borderId="2" xfId="2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16" fillId="5" borderId="17" xfId="0" applyNumberFormat="1" applyFont="1" applyFill="1" applyBorder="1" applyAlignment="1">
      <alignment horizontal="right" vertical="top" wrapText="1"/>
    </xf>
    <xf numFmtId="43" fontId="5" fillId="5" borderId="18" xfId="2" applyFont="1" applyFill="1" applyBorder="1" applyAlignment="1">
      <alignment horizontal="center" vertical="center"/>
    </xf>
    <xf numFmtId="0" fontId="5" fillId="5" borderId="5" xfId="0" applyFont="1" applyFill="1" applyBorder="1"/>
    <xf numFmtId="0" fontId="9" fillId="3" borderId="1" xfId="0" applyFont="1" applyFill="1" applyBorder="1" applyAlignment="1">
      <alignment horizontal="center" vertical="center" wrapText="1"/>
    </xf>
    <xf numFmtId="10" fontId="5" fillId="0" borderId="6" xfId="3" applyNumberFormat="1" applyFont="1" applyFill="1" applyBorder="1" applyAlignment="1">
      <alignment horizontal="center" vertical="center"/>
    </xf>
    <xf numFmtId="4" fontId="9" fillId="0" borderId="11" xfId="0" applyNumberFormat="1" applyFont="1" applyFill="1" applyBorder="1" applyAlignment="1">
      <alignment horizontal="right" vertical="center" indent="1"/>
    </xf>
    <xf numFmtId="166" fontId="6" fillId="4" borderId="11" xfId="0" applyNumberFormat="1" applyFont="1" applyFill="1" applyBorder="1" applyAlignment="1">
      <alignment horizontal="right" vertical="center" indent="1"/>
    </xf>
    <xf numFmtId="4" fontId="6" fillId="4" borderId="11" xfId="0" applyNumberFormat="1" applyFont="1" applyFill="1" applyBorder="1" applyAlignment="1">
      <alignment horizontal="right" vertical="center" indent="1"/>
    </xf>
    <xf numFmtId="165" fontId="5" fillId="4" borderId="11" xfId="2" applyNumberFormat="1" applyFont="1" applyFill="1" applyBorder="1" applyAlignment="1">
      <alignment horizontal="center" vertical="center"/>
    </xf>
    <xf numFmtId="10" fontId="5" fillId="4" borderId="11" xfId="0" applyNumberFormat="1" applyFont="1" applyFill="1" applyBorder="1" applyAlignment="1">
      <alignment horizontal="center" vertical="center"/>
    </xf>
    <xf numFmtId="43" fontId="5" fillId="4" borderId="12" xfId="2" applyFont="1" applyFill="1" applyBorder="1" applyAlignment="1">
      <alignment horizontal="center" vertical="center"/>
    </xf>
    <xf numFmtId="4" fontId="9" fillId="4" borderId="11" xfId="0" applyNumberFormat="1" applyFont="1" applyFill="1" applyBorder="1" applyAlignment="1">
      <alignment horizontal="right" vertical="center" indent="1"/>
    </xf>
    <xf numFmtId="10" fontId="5" fillId="4" borderId="10" xfId="3" applyNumberFormat="1" applyFont="1" applyFill="1" applyBorder="1" applyAlignment="1">
      <alignment horizontal="center" vertical="center"/>
    </xf>
    <xf numFmtId="10" fontId="5" fillId="5" borderId="10" xfId="3" applyNumberFormat="1" applyFont="1" applyFill="1" applyBorder="1" applyAlignment="1">
      <alignment horizontal="center" vertical="center"/>
    </xf>
    <xf numFmtId="4" fontId="6" fillId="4" borderId="19" xfId="0" applyNumberFormat="1" applyFont="1" applyFill="1" applyBorder="1" applyAlignment="1">
      <alignment horizontal="center" vertical="center"/>
    </xf>
    <xf numFmtId="4" fontId="6" fillId="4" borderId="20" xfId="0" applyNumberFormat="1" applyFont="1" applyFill="1" applyBorder="1" applyAlignment="1">
      <alignment horizontal="center" vertical="center"/>
    </xf>
    <xf numFmtId="4" fontId="6" fillId="0" borderId="2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9" fontId="18" fillId="5" borderId="4" xfId="3" applyFont="1" applyFill="1" applyBorder="1" applyAlignment="1">
      <alignment horizontal="left" vertical="center"/>
    </xf>
    <xf numFmtId="9" fontId="18" fillId="5" borderId="15" xfId="3" applyFont="1" applyFill="1" applyBorder="1" applyAlignment="1">
      <alignment horizontal="left" vertical="center"/>
    </xf>
    <xf numFmtId="9" fontId="18" fillId="5" borderId="16" xfId="3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5" xfId="2" applyNumberFormat="1" applyFont="1" applyFill="1" applyBorder="1" applyAlignment="1">
      <alignment horizontal="left" vertical="center"/>
    </xf>
    <xf numFmtId="165" fontId="18" fillId="0" borderId="16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15" xfId="3" applyFont="1" applyFill="1" applyBorder="1" applyAlignment="1">
      <alignment horizontal="left" vertical="center"/>
    </xf>
    <xf numFmtId="9" fontId="18" fillId="0" borderId="16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tabSelected="1" topLeftCell="A4" workbookViewId="0">
      <selection activeCell="F12" sqref="F12"/>
    </sheetView>
  </sheetViews>
  <sheetFormatPr baseColWidth="10" defaultRowHeight="12.75" x14ac:dyDescent="0.2"/>
  <cols>
    <col min="1" max="1" width="32.85546875" customWidth="1"/>
    <col min="2" max="2" width="18.42578125" customWidth="1"/>
    <col min="3" max="3" width="29.5703125" customWidth="1"/>
    <col min="4" max="4" width="21.140625" customWidth="1"/>
    <col min="5" max="5" width="16.7109375" customWidth="1"/>
    <col min="6" max="6" width="20.5703125" customWidth="1"/>
    <col min="7" max="11" width="16.7109375" customWidth="1"/>
    <col min="12" max="12" width="16.140625" customWidth="1"/>
  </cols>
  <sheetData>
    <row r="1" spans="1:12" ht="48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ht="18" x14ac:dyDescent="0.25">
      <c r="A2" s="79" t="str">
        <f>valoración!A3</f>
        <v>PROPUESTA DE ADJUDICACIÓN DEL EXPEDIENTE S-00602-2025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45"/>
    </row>
    <row r="3" spans="1:12" ht="18" x14ac:dyDescent="0.25">
      <c r="A3" s="79" t="str">
        <f>valoración!A4</f>
        <v>"Servicios CDN"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45"/>
    </row>
    <row r="4" spans="1:12" ht="18" x14ac:dyDescent="0.25">
      <c r="A4" s="79" t="str">
        <f>valoración!A5</f>
        <v>RESUMEN PUNTUACIÓN TÉCNICA Y ECONÓMICA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45"/>
    </row>
    <row r="5" spans="1:12" x14ac:dyDescent="0.2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13.5" thickBot="1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30.75" customHeight="1" thickBot="1" x14ac:dyDescent="0.25">
      <c r="A7" s="45"/>
      <c r="B7" s="45"/>
      <c r="C7" s="45"/>
      <c r="D7" s="45"/>
      <c r="E7" s="76" t="s">
        <v>30</v>
      </c>
      <c r="F7" s="77"/>
      <c r="G7" s="77"/>
      <c r="H7" s="77"/>
      <c r="I7" s="77"/>
      <c r="J7" s="77"/>
      <c r="K7" s="78"/>
      <c r="L7" s="45"/>
    </row>
    <row r="8" spans="1:12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16</v>
      </c>
      <c r="F8" s="16" t="s">
        <v>31</v>
      </c>
      <c r="G8" s="17" t="s">
        <v>1</v>
      </c>
      <c r="H8" s="17" t="s">
        <v>17</v>
      </c>
      <c r="I8" s="17" t="s">
        <v>10</v>
      </c>
      <c r="J8" s="17" t="s">
        <v>11</v>
      </c>
      <c r="K8" s="18" t="s">
        <v>12</v>
      </c>
      <c r="L8" s="17" t="s">
        <v>20</v>
      </c>
    </row>
    <row r="9" spans="1:12" ht="35.1" customHeight="1" thickBot="1" x14ac:dyDescent="0.25">
      <c r="A9" s="60" t="s">
        <v>24</v>
      </c>
      <c r="B9" s="43" t="s">
        <v>22</v>
      </c>
      <c r="C9" s="19">
        <v>417768</v>
      </c>
      <c r="D9" s="19">
        <f>45+10</f>
        <v>55</v>
      </c>
      <c r="E9" s="46"/>
      <c r="F9" s="63">
        <v>415968</v>
      </c>
      <c r="G9" s="64">
        <v>45</v>
      </c>
      <c r="H9" s="68">
        <f>$D9+G9</f>
        <v>100</v>
      </c>
      <c r="I9" s="65">
        <v>1</v>
      </c>
      <c r="J9" s="66">
        <f>+$C9/$C$14*I9</f>
        <v>0.108263933376041</v>
      </c>
      <c r="K9" s="67">
        <f>+H9*J9</f>
        <v>10.826393337604099</v>
      </c>
      <c r="L9" s="71">
        <f>100-($F9*100/$C9)</f>
        <v>0.4308611478140989</v>
      </c>
    </row>
    <row r="10" spans="1:12" ht="35.1" customHeight="1" thickBot="1" x14ac:dyDescent="0.25">
      <c r="A10" s="74" t="s">
        <v>25</v>
      </c>
      <c r="B10" s="43" t="s">
        <v>22</v>
      </c>
      <c r="C10" s="19">
        <v>1794672</v>
      </c>
      <c r="D10" s="19">
        <v>53</v>
      </c>
      <c r="E10" s="70">
        <v>0.10199999999999999</v>
      </c>
      <c r="F10" s="63">
        <v>1366827.84</v>
      </c>
      <c r="G10" s="64">
        <v>45</v>
      </c>
      <c r="H10" s="64">
        <f>$D10+G10</f>
        <v>98</v>
      </c>
      <c r="I10" s="65">
        <v>1</v>
      </c>
      <c r="J10" s="66">
        <f>+$C10/$C$14*I10</f>
        <v>0.46508648302370276</v>
      </c>
      <c r="K10" s="67">
        <f t="shared" ref="K10:K13" si="0">+H10*J10</f>
        <v>45.578475336322867</v>
      </c>
      <c r="L10" s="72">
        <f>100-($F10*100/$C10)</f>
        <v>23.839685468988208</v>
      </c>
    </row>
    <row r="11" spans="1:12" ht="35.1" customHeight="1" thickBot="1" x14ac:dyDescent="0.25">
      <c r="A11" s="75"/>
      <c r="B11" s="44" t="s">
        <v>23</v>
      </c>
      <c r="C11" s="19">
        <v>1794672</v>
      </c>
      <c r="D11" s="19">
        <f>6+32</f>
        <v>38</v>
      </c>
      <c r="E11" s="49"/>
      <c r="F11" s="50">
        <v>1794672</v>
      </c>
      <c r="G11" s="51">
        <v>30.914109563352177</v>
      </c>
      <c r="H11" s="21">
        <f t="shared" ref="H11:H13" si="1">$D11+G11</f>
        <v>68.914109563352184</v>
      </c>
      <c r="I11" s="52"/>
      <c r="J11" s="28">
        <f>+$C11/$C$14*I11</f>
        <v>0</v>
      </c>
      <c r="K11" s="29">
        <f t="shared" si="0"/>
        <v>0</v>
      </c>
      <c r="L11" s="53">
        <f t="shared" ref="L11:L13" si="2">100-($F11*100/$C11)</f>
        <v>0</v>
      </c>
    </row>
    <row r="12" spans="1:12" ht="35.1" customHeight="1" thickBot="1" x14ac:dyDescent="0.25">
      <c r="A12" s="74" t="s">
        <v>26</v>
      </c>
      <c r="B12" s="43" t="s">
        <v>22</v>
      </c>
      <c r="C12" s="19">
        <v>1646352</v>
      </c>
      <c r="D12" s="19">
        <v>53</v>
      </c>
      <c r="E12" s="70">
        <v>0.01</v>
      </c>
      <c r="F12" s="63">
        <v>1613779.2</v>
      </c>
      <c r="G12" s="64">
        <v>45</v>
      </c>
      <c r="H12" s="64">
        <f t="shared" si="1"/>
        <v>98</v>
      </c>
      <c r="I12" s="65">
        <v>1</v>
      </c>
      <c r="J12" s="66">
        <f>+$C12/$C$14*I12</f>
        <v>0.42664958360025623</v>
      </c>
      <c r="K12" s="67">
        <f t="shared" si="0"/>
        <v>41.811659192825111</v>
      </c>
      <c r="L12" s="72">
        <f>100-($F12*100/$C12)</f>
        <v>1.9784833377066349</v>
      </c>
    </row>
    <row r="13" spans="1:12" ht="35.1" customHeight="1" thickBot="1" x14ac:dyDescent="0.25">
      <c r="A13" s="75"/>
      <c r="B13" s="44" t="s">
        <v>23</v>
      </c>
      <c r="C13" s="19">
        <v>1646352</v>
      </c>
      <c r="D13" s="19">
        <f>5+33</f>
        <v>38</v>
      </c>
      <c r="E13" s="49"/>
      <c r="F13" s="47">
        <v>1646352</v>
      </c>
      <c r="G13" s="48">
        <v>44.091712174751045</v>
      </c>
      <c r="H13" s="21">
        <f t="shared" si="1"/>
        <v>82.091712174751052</v>
      </c>
      <c r="I13" s="54"/>
      <c r="J13" s="28">
        <f>+$C13/$C$14*I13</f>
        <v>0</v>
      </c>
      <c r="K13" s="29">
        <f t="shared" si="0"/>
        <v>0</v>
      </c>
      <c r="L13" s="73">
        <f t="shared" si="2"/>
        <v>0</v>
      </c>
    </row>
    <row r="14" spans="1:12" ht="45.75" thickBot="1" x14ac:dyDescent="0.25">
      <c r="A14" s="55"/>
      <c r="B14" s="30" t="s">
        <v>13</v>
      </c>
      <c r="C14" s="31">
        <f>C9+C10+C12</f>
        <v>3858792</v>
      </c>
      <c r="D14" s="56"/>
      <c r="E14" s="56"/>
      <c r="F14" s="56"/>
      <c r="G14" s="56"/>
      <c r="H14" s="56"/>
      <c r="I14" s="56"/>
      <c r="J14" s="57" t="s">
        <v>19</v>
      </c>
      <c r="K14" s="58">
        <f>SUM(K9:K13)</f>
        <v>98.216527866752074</v>
      </c>
      <c r="L14" s="45"/>
    </row>
    <row r="15" spans="1:12" x14ac:dyDescent="0.2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</row>
    <row r="16" spans="1:12" x14ac:dyDescent="0.2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</row>
    <row r="17" spans="1:12" ht="14.25" x14ac:dyDescent="0.2">
      <c r="A17" s="59" t="s">
        <v>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12" ht="14.25" x14ac:dyDescent="0.2">
      <c r="A18" s="59" t="s">
        <v>33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</row>
    <row r="19" spans="1:12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12" x14ac:dyDescent="0.2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</row>
  </sheetData>
  <mergeCells count="6">
    <mergeCell ref="A12:A13"/>
    <mergeCell ref="E7:K7"/>
    <mergeCell ref="A2:K2"/>
    <mergeCell ref="A3:K3"/>
    <mergeCell ref="A4:K4"/>
    <mergeCell ref="A10:A1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20"/>
  <sheetViews>
    <sheetView showGridLines="0" showZeros="0" zoomScaleNormal="100" workbookViewId="0">
      <selection activeCell="D14" sqref="D14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1" width="16.7109375" style="10" customWidth="1"/>
    <col min="12" max="12" width="21" style="10" customWidth="1"/>
    <col min="13" max="18" width="16.7109375" style="10" customWidth="1"/>
    <col min="19" max="19" width="20.5703125" style="10" customWidth="1"/>
    <col min="20" max="24" width="16.7109375" style="10" customWidth="1"/>
    <col min="25" max="16384" width="11.42578125" style="10"/>
  </cols>
  <sheetData>
    <row r="1" spans="1:28" x14ac:dyDescent="0.2">
      <c r="AA1" s="12" t="s">
        <v>7</v>
      </c>
    </row>
    <row r="2" spans="1:28" s="3" customFormat="1" ht="48" customHeight="1" x14ac:dyDescent="0.15">
      <c r="A2" s="2"/>
      <c r="D2" s="4"/>
      <c r="E2" s="4"/>
      <c r="F2" s="4"/>
      <c r="G2" s="4"/>
      <c r="H2" s="5"/>
      <c r="M2" s="11"/>
      <c r="AA2" s="13" t="s">
        <v>18</v>
      </c>
      <c r="AB2" s="14">
        <v>45</v>
      </c>
    </row>
    <row r="3" spans="1:28" s="3" customFormat="1" ht="22.5" customHeight="1" x14ac:dyDescent="0.15">
      <c r="A3" s="87" t="s">
        <v>28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AA3" s="23" t="s">
        <v>9</v>
      </c>
    </row>
    <row r="4" spans="1:28" s="3" customFormat="1" ht="22.5" customHeight="1" x14ac:dyDescent="0.15">
      <c r="A4" s="87" t="s">
        <v>29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</row>
    <row r="5" spans="1:28" s="3" customFormat="1" ht="24.6" customHeight="1" x14ac:dyDescent="0.15">
      <c r="A5" s="87" t="s">
        <v>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</row>
    <row r="6" spans="1:28" s="3" customFormat="1" ht="24.6" customHeight="1" thickBot="1" x14ac:dyDescent="0.2">
      <c r="A6" s="22"/>
      <c r="B6" s="22"/>
      <c r="C6" s="22"/>
      <c r="D6" s="22"/>
      <c r="E6" s="22"/>
      <c r="F6" s="22"/>
      <c r="G6" s="22"/>
      <c r="H6" s="4"/>
    </row>
    <row r="7" spans="1:28" s="3" customFormat="1" ht="24.75" customHeight="1" thickBot="1" x14ac:dyDescent="0.3">
      <c r="A7" s="2"/>
      <c r="B7" s="6"/>
      <c r="C7" s="7"/>
      <c r="D7" s="7"/>
      <c r="E7" s="81" t="s">
        <v>15</v>
      </c>
      <c r="F7" s="82"/>
      <c r="G7" s="82"/>
      <c r="H7" s="82"/>
      <c r="I7" s="82"/>
      <c r="J7" s="83"/>
      <c r="K7" s="84" t="s">
        <v>21</v>
      </c>
      <c r="L7" s="85"/>
      <c r="M7" s="85"/>
      <c r="N7" s="85"/>
      <c r="O7" s="85"/>
      <c r="P7" s="85"/>
      <c r="Q7" s="86"/>
      <c r="R7" s="84" t="s">
        <v>30</v>
      </c>
      <c r="S7" s="85"/>
      <c r="T7" s="85"/>
      <c r="U7" s="85"/>
      <c r="V7" s="85"/>
      <c r="W7" s="85"/>
      <c r="X7" s="86"/>
    </row>
    <row r="8" spans="1:28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27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27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  <c r="R8" s="16" t="s">
        <v>16</v>
      </c>
      <c r="S8" s="16" t="s">
        <v>27</v>
      </c>
      <c r="T8" s="17" t="s">
        <v>1</v>
      </c>
      <c r="U8" s="17" t="s">
        <v>17</v>
      </c>
      <c r="V8" s="17" t="s">
        <v>10</v>
      </c>
      <c r="W8" s="17" t="s">
        <v>11</v>
      </c>
      <c r="X8" s="18" t="s">
        <v>12</v>
      </c>
    </row>
    <row r="9" spans="1:28" s="3" customFormat="1" ht="35.1" customHeight="1" thickBot="1" x14ac:dyDescent="0.2">
      <c r="A9" s="60" t="s">
        <v>24</v>
      </c>
      <c r="B9" s="43" t="s">
        <v>22</v>
      </c>
      <c r="C9" s="19">
        <v>417768</v>
      </c>
      <c r="D9" s="19">
        <f>45+10</f>
        <v>55</v>
      </c>
      <c r="E9" s="19">
        <v>415968</v>
      </c>
      <c r="F9" s="20">
        <f>$AB$2*(MIN(E$9:E$9)/E9)</f>
        <v>45</v>
      </c>
      <c r="G9" s="20">
        <f>D9+F9</f>
        <v>100</v>
      </c>
      <c r="H9" s="32">
        <v>1</v>
      </c>
      <c r="I9" s="25">
        <f>+$C9/$C$14*H9</f>
        <v>0.108263933376041</v>
      </c>
      <c r="J9" s="26">
        <f t="shared" ref="J9:J13" si="0">+G9*I9</f>
        <v>10.826393337604099</v>
      </c>
      <c r="K9" s="36"/>
      <c r="L9" s="37">
        <f>+$E9*(1-K9)</f>
        <v>415968</v>
      </c>
      <c r="M9" s="20">
        <f>$AB$2*(MIN(L$9:L$9)/L9)</f>
        <v>45</v>
      </c>
      <c r="N9" s="62">
        <f>$D9+M9</f>
        <v>100</v>
      </c>
      <c r="O9" s="24">
        <v>1</v>
      </c>
      <c r="P9" s="25">
        <f>+$C9/$C$14*O9</f>
        <v>0.108263933376041</v>
      </c>
      <c r="Q9" s="26">
        <f>+N9*P9</f>
        <v>10.826393337604099</v>
      </c>
      <c r="R9" s="36"/>
      <c r="S9" s="63">
        <f>+$E9*(1-R9)</f>
        <v>415968</v>
      </c>
      <c r="T9" s="64">
        <f>$AB$2*(2-S9/MIN(S$9:S$9))</f>
        <v>45</v>
      </c>
      <c r="U9" s="68">
        <f>$D9+T9</f>
        <v>100</v>
      </c>
      <c r="V9" s="65">
        <v>1</v>
      </c>
      <c r="W9" s="66">
        <f>+$C9/$C$14*V9</f>
        <v>0.108263933376041</v>
      </c>
      <c r="X9" s="67">
        <f>+U9*W9</f>
        <v>10.826393337604099</v>
      </c>
    </row>
    <row r="10" spans="1:28" s="3" customFormat="1" ht="35.1" customHeight="1" thickBot="1" x14ac:dyDescent="0.2">
      <c r="A10" s="74" t="s">
        <v>25</v>
      </c>
      <c r="B10" s="43" t="s">
        <v>22</v>
      </c>
      <c r="C10" s="19">
        <v>1794672</v>
      </c>
      <c r="D10" s="19">
        <v>53</v>
      </c>
      <c r="E10" s="19">
        <v>1522080</v>
      </c>
      <c r="F10" s="20">
        <f>$AB$2*(MIN(E$10:E$11)/E10)</f>
        <v>45</v>
      </c>
      <c r="G10" s="20">
        <f t="shared" ref="G10:G13" si="1">D10+F10</f>
        <v>98</v>
      </c>
      <c r="H10" s="32">
        <v>1</v>
      </c>
      <c r="I10" s="25">
        <f>+$C10/$C$14*H10</f>
        <v>0.46508648302370276</v>
      </c>
      <c r="J10" s="26">
        <f t="shared" si="0"/>
        <v>45.578475336322867</v>
      </c>
      <c r="K10" s="36"/>
      <c r="L10" s="37">
        <f t="shared" ref="L10:L13" si="2">+$E10*(1-K10)</f>
        <v>1522080</v>
      </c>
      <c r="M10" s="20">
        <f>$AB$2*(MIN(L$10:L$11)/L10)</f>
        <v>34.910122989593177</v>
      </c>
      <c r="N10" s="20">
        <f t="shared" ref="N10:N13" si="3">$D10+M10</f>
        <v>87.910122989593177</v>
      </c>
      <c r="O10" s="35"/>
      <c r="P10" s="25">
        <f>+$C10/$C$14*O10</f>
        <v>0</v>
      </c>
      <c r="Q10" s="26">
        <f t="shared" ref="Q10:Q13" si="4">+N10*P10</f>
        <v>0</v>
      </c>
      <c r="R10" s="69">
        <v>0.10199999999999999</v>
      </c>
      <c r="S10" s="63">
        <f>+$E10*(1-R10)</f>
        <v>1366827.84</v>
      </c>
      <c r="T10" s="64">
        <f>$AB$2*(2-S10/MIN(S$10:S$11))</f>
        <v>45</v>
      </c>
      <c r="U10" s="64">
        <f t="shared" ref="U10:U13" si="5">$D10+T10</f>
        <v>98</v>
      </c>
      <c r="V10" s="65">
        <v>1</v>
      </c>
      <c r="W10" s="66">
        <f>+$C10/$C$14*V10</f>
        <v>0.46508648302370276</v>
      </c>
      <c r="X10" s="67">
        <f t="shared" ref="X10:X13" si="6">+U10*W10</f>
        <v>45.578475336322867</v>
      </c>
    </row>
    <row r="11" spans="1:28" s="3" customFormat="1" ht="35.1" customHeight="1" thickBot="1" x14ac:dyDescent="0.2">
      <c r="A11" s="75"/>
      <c r="B11" s="44" t="s">
        <v>23</v>
      </c>
      <c r="C11" s="19">
        <v>1794672</v>
      </c>
      <c r="D11" s="19">
        <f>6+32</f>
        <v>38</v>
      </c>
      <c r="E11" s="19">
        <v>1794672</v>
      </c>
      <c r="F11" s="20">
        <f>$AB$2*(MIN(E$10:E$11)/E11)</f>
        <v>38.16496830618631</v>
      </c>
      <c r="G11" s="21">
        <f t="shared" si="1"/>
        <v>76.16496830618631</v>
      </c>
      <c r="H11" s="33"/>
      <c r="I11" s="28">
        <f>+$C11/$C$14*H11</f>
        <v>0</v>
      </c>
      <c r="J11" s="29">
        <f t="shared" si="0"/>
        <v>0</v>
      </c>
      <c r="K11" s="61">
        <v>0.34205247532696798</v>
      </c>
      <c r="L11" s="39">
        <f t="shared" si="2"/>
        <v>1180799.9999999995</v>
      </c>
      <c r="M11" s="20">
        <f>$AB$2*(MIN(L$10:L$11)/L11)</f>
        <v>45</v>
      </c>
      <c r="N11" s="21">
        <f t="shared" si="3"/>
        <v>83</v>
      </c>
      <c r="O11" s="24">
        <v>1</v>
      </c>
      <c r="P11" s="25">
        <f>+$C11/$C$14*O11</f>
        <v>0.46508648302370276</v>
      </c>
      <c r="Q11" s="29">
        <f>+N11*P11</f>
        <v>38.602178090967328</v>
      </c>
      <c r="R11" s="38"/>
      <c r="S11" s="39">
        <f t="shared" ref="S11:S13" si="7">+$E11*(1-R11)</f>
        <v>1794672</v>
      </c>
      <c r="T11" s="21">
        <f>$AB$2*(2-S11/MIN(S$10:S$11))</f>
        <v>30.914109563352177</v>
      </c>
      <c r="U11" s="21">
        <f t="shared" si="5"/>
        <v>68.914109563352184</v>
      </c>
      <c r="V11" s="34"/>
      <c r="W11" s="28">
        <f>+$C11/$C$14*V11</f>
        <v>0</v>
      </c>
      <c r="X11" s="29">
        <f t="shared" si="6"/>
        <v>0</v>
      </c>
    </row>
    <row r="12" spans="1:28" s="3" customFormat="1" ht="35.1" customHeight="1" thickBot="1" x14ac:dyDescent="0.2">
      <c r="A12" s="74" t="s">
        <v>26</v>
      </c>
      <c r="B12" s="43" t="s">
        <v>22</v>
      </c>
      <c r="C12" s="19">
        <v>1646352</v>
      </c>
      <c r="D12" s="19">
        <v>53</v>
      </c>
      <c r="E12" s="19">
        <v>1630080</v>
      </c>
      <c r="F12" s="20">
        <f>$AB$2*(MIN(E$12:E$13)/E12)</f>
        <v>45</v>
      </c>
      <c r="G12" s="42">
        <f t="shared" si="1"/>
        <v>98</v>
      </c>
      <c r="H12" s="32">
        <v>1</v>
      </c>
      <c r="I12" s="25">
        <f>+$C12/$C$14*H12</f>
        <v>0.42664958360025623</v>
      </c>
      <c r="J12" s="26">
        <f t="shared" si="0"/>
        <v>41.811659192825111</v>
      </c>
      <c r="K12" s="36"/>
      <c r="L12" s="37">
        <f t="shared" si="2"/>
        <v>1630080</v>
      </c>
      <c r="M12" s="20">
        <f>$AB$2*(MIN(L$10:L$11)/L12)</f>
        <v>32.597173144876315</v>
      </c>
      <c r="N12" s="20">
        <f>$D12+M12</f>
        <v>85.597173144876308</v>
      </c>
      <c r="O12" s="35"/>
      <c r="P12" s="25">
        <f>+$C12/$C$14*O12</f>
        <v>0</v>
      </c>
      <c r="Q12" s="26">
        <f t="shared" si="4"/>
        <v>0</v>
      </c>
      <c r="R12" s="69">
        <v>0.01</v>
      </c>
      <c r="S12" s="63">
        <f t="shared" si="7"/>
        <v>1613779.2</v>
      </c>
      <c r="T12" s="64">
        <f>$AB$2*(2-S12/MIN(S$12:S$13))</f>
        <v>45</v>
      </c>
      <c r="U12" s="64">
        <f t="shared" si="5"/>
        <v>98</v>
      </c>
      <c r="V12" s="65">
        <v>1</v>
      </c>
      <c r="W12" s="66">
        <f>+$C12/$C$14*V12</f>
        <v>0.42664958360025623</v>
      </c>
      <c r="X12" s="67">
        <f t="shared" si="6"/>
        <v>41.811659192825111</v>
      </c>
    </row>
    <row r="13" spans="1:28" s="3" customFormat="1" ht="35.1" customHeight="1" thickBot="1" x14ac:dyDescent="0.2">
      <c r="A13" s="75"/>
      <c r="B13" s="44" t="s">
        <v>23</v>
      </c>
      <c r="C13" s="19">
        <v>1646352</v>
      </c>
      <c r="D13" s="19">
        <f>5+33</f>
        <v>38</v>
      </c>
      <c r="E13" s="19">
        <v>1646352</v>
      </c>
      <c r="F13" s="20">
        <f>$AB$2*(MIN(E$12:E$13)/E13)</f>
        <v>44.55523484649698</v>
      </c>
      <c r="G13" s="42">
        <f t="shared" si="1"/>
        <v>82.555234846496973</v>
      </c>
      <c r="H13" s="33"/>
      <c r="I13" s="28">
        <f>+$C13/$C$14*H13</f>
        <v>0</v>
      </c>
      <c r="J13" s="29">
        <f t="shared" si="0"/>
        <v>0</v>
      </c>
      <c r="K13" s="61">
        <v>0.34400419837313001</v>
      </c>
      <c r="L13" s="39">
        <f t="shared" si="2"/>
        <v>1080000.0000000007</v>
      </c>
      <c r="M13" s="20">
        <f>$AB$2*(MIN(L$10:L$11)/L13)</f>
        <v>49.199999999999946</v>
      </c>
      <c r="N13" s="21">
        <f t="shared" si="3"/>
        <v>87.199999999999946</v>
      </c>
      <c r="O13" s="24">
        <v>1</v>
      </c>
      <c r="P13" s="28">
        <f>+$C13/$C$14*O13</f>
        <v>0.42664958360025623</v>
      </c>
      <c r="Q13" s="29">
        <f t="shared" si="4"/>
        <v>37.203843689942317</v>
      </c>
      <c r="R13" s="38"/>
      <c r="S13" s="39">
        <f t="shared" si="7"/>
        <v>1646352</v>
      </c>
      <c r="T13" s="21">
        <f>$AB$2*(2-S13/MIN(S$12:S$13))</f>
        <v>44.091712174751045</v>
      </c>
      <c r="U13" s="21">
        <f t="shared" si="5"/>
        <v>82.091712174751052</v>
      </c>
      <c r="V13" s="27"/>
      <c r="W13" s="28">
        <f>+$C13/$C$14*V13</f>
        <v>0</v>
      </c>
      <c r="X13" s="29">
        <f t="shared" si="6"/>
        <v>0</v>
      </c>
    </row>
    <row r="14" spans="1:28" ht="42.75" customHeight="1" thickBot="1" x14ac:dyDescent="0.25">
      <c r="B14" s="30" t="s">
        <v>13</v>
      </c>
      <c r="C14" s="31">
        <f>C9+C10+C12</f>
        <v>3858792</v>
      </c>
      <c r="I14" s="40" t="s">
        <v>14</v>
      </c>
      <c r="J14" s="41">
        <f>SUM(J9:J13)</f>
        <v>98.216527866752074</v>
      </c>
      <c r="P14" s="40" t="s">
        <v>14</v>
      </c>
      <c r="Q14" s="41">
        <f>SUM(Q9:Q13)</f>
        <v>86.632415118513748</v>
      </c>
      <c r="W14" s="40" t="s">
        <v>14</v>
      </c>
      <c r="X14" s="41">
        <f>SUM(X9:X13)</f>
        <v>98.216527866752074</v>
      </c>
    </row>
    <row r="17" spans="1:7" ht="14.25" x14ac:dyDescent="0.2">
      <c r="A17" s="1" t="s">
        <v>2</v>
      </c>
    </row>
    <row r="18" spans="1:7" ht="14.25" x14ac:dyDescent="0.2">
      <c r="A18" s="1" t="s">
        <v>32</v>
      </c>
    </row>
    <row r="20" spans="1:7" ht="56.25" customHeight="1" x14ac:dyDescent="0.2">
      <c r="A20" s="80"/>
      <c r="B20" s="80"/>
      <c r="C20" s="80"/>
      <c r="D20" s="80"/>
      <c r="E20" s="80"/>
      <c r="F20" s="80"/>
      <c r="G20" s="80"/>
    </row>
  </sheetData>
  <mergeCells count="9">
    <mergeCell ref="A20:G20"/>
    <mergeCell ref="E7:J7"/>
    <mergeCell ref="K7:Q7"/>
    <mergeCell ref="R7:X7"/>
    <mergeCell ref="A3:X3"/>
    <mergeCell ref="A4:X4"/>
    <mergeCell ref="A5:X5"/>
    <mergeCell ref="A12:A13"/>
    <mergeCell ref="A10:A11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RTVE</dc:creator>
  <cp:lastModifiedBy>NURIA SANTOME RODRIGUEZ</cp:lastModifiedBy>
  <cp:lastPrinted>2021-11-19T11:28:43Z</cp:lastPrinted>
  <dcterms:created xsi:type="dcterms:W3CDTF">2007-03-30T09:59:06Z</dcterms:created>
  <dcterms:modified xsi:type="dcterms:W3CDTF">2025-06-26T12:18:11Z</dcterms:modified>
</cp:coreProperties>
</file>