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1533_ATaudEnerg-Lotes_ARROYO-RRJ\__ANEXO I PUBLICABLE\"/>
    </mc:Choice>
  </mc:AlternateContent>
  <xr:revisionPtr revIDLastSave="0" documentId="8_{F4B54888-CCF7-4A4F-84BE-B04A71FC62DE}" xr6:coauthVersionLast="36" xr6:coauthVersionMax="36" xr10:uidLastSave="{00000000-0000-0000-0000-000000000000}"/>
  <workbookProtection workbookAlgorithmName="SHA-512" workbookHashValue="AuUp8aPm9A/M+RkSAoXyvuBQKUJmuBW8BngAKMJe3D4tdriHPCPLIvWlWSEpx8+ZVTClhTkh/GVWjmHJPVQ9HA==" workbookSaltValue="mMiO8sD7k6p9AE5H5LgEvw==" workbookSpinCount="100000" lockStructure="1"/>
  <bookViews>
    <workbookView xWindow="0" yWindow="0" windowWidth="26085" windowHeight="9810" tabRatio="877" activeTab="1" xr2:uid="{5E7A3E62-C889-4F9F-8195-5D07695EABC0}"/>
  </bookViews>
  <sheets>
    <sheet name="RESUMEN LOTES" sheetId="10" r:id="rId1"/>
    <sheet name="INSTRUCCIONES" sheetId="15" r:id="rId2"/>
    <sheet name="Anx I pg 1 oferta" sheetId="11" r:id="rId3"/>
    <sheet name="L1 ANDA EXTR Ceuta Melilla" sheetId="1" r:id="rId4"/>
    <sheet name="L2 ARAG NAVA RIOJ PVASC" sheetId="2" r:id="rId5"/>
    <sheet name="L3 MADR (Prado Rey)" sheetId="3" r:id="rId6"/>
    <sheet name="L4 MADR (TorreEspaña y resto)" sheetId="4" r:id="rId7"/>
    <sheet name="L5 VALE CMAN BALE MURC" sheetId="5" r:id="rId8"/>
    <sheet name="L6 CANT CLEON ASTU" sheetId="6" r:id="rId9"/>
    <sheet name="L7 CATAL" sheetId="7" r:id="rId10"/>
    <sheet name="L8 GALIC" sheetId="8" r:id="rId11"/>
    <sheet name="L9 CANAR" sheetId="9" r:id="rId12"/>
    <sheet name="% admitidos" sheetId="12" r:id="rId13"/>
    <sheet name="DATOS CENTROS" sheetId="14" r:id="rId14"/>
  </sheets>
  <definedNames>
    <definedName name="_xlnm._FilterDatabase" localSheetId="12" hidden="1">'% admitidos'!$A$3:$P$167</definedName>
    <definedName name="_xlnm._FilterDatabase" localSheetId="13" hidden="1">'DATOS CENTROS'!$A$5:$L$648</definedName>
    <definedName name="_xlnm._FilterDatabase" localSheetId="3" hidden="1">'L1 ANDA EXTR Ceuta Melilla'!$A$1:$K$199</definedName>
    <definedName name="_xlnm._FilterDatabase" localSheetId="4" hidden="1">'L2 ARAG NAVA RIOJ PVASC'!$A$1:$K$180</definedName>
    <definedName name="_xlnm._FilterDatabase" localSheetId="5" hidden="1">'L3 MADR (Prado Rey)'!$A$1:$K$201</definedName>
    <definedName name="_xlnm._FilterDatabase" localSheetId="6" hidden="1">'L4 MADR (TorreEspaña y resto)'!$A$1:$K$174</definedName>
    <definedName name="_xlnm._FilterDatabase" localSheetId="7" hidden="1">'L5 VALE CMAN BALE MURC'!$A$1:$K$181</definedName>
    <definedName name="_xlnm._FilterDatabase" localSheetId="8" hidden="1">'L6 CANT CLEON ASTU'!$A$1:$K$178</definedName>
    <definedName name="_xlnm._FilterDatabase" localSheetId="9" hidden="1">'L7 CATAL'!$A$1:$K$174</definedName>
    <definedName name="_xlnm._FilterDatabase" localSheetId="10" hidden="1">'L8 GALIC'!$A$1:$K$174</definedName>
    <definedName name="_xlnm._FilterDatabase" localSheetId="11" hidden="1">'L9 CANAR'!$A$1:$K$174</definedName>
    <definedName name="_Hlk192850226" localSheetId="3">'L1 ANDA EXTR Ceuta Melilla'!$C$25</definedName>
    <definedName name="_Hlk193094503" localSheetId="12">'% admitidos'!$A$50</definedName>
    <definedName name="_Hlk193097860" localSheetId="12">'% admitidos'!$A$142</definedName>
    <definedName name="_Hlk202344527" localSheetId="11">'L9 CANAR'!$H$69</definedName>
    <definedName name="_xlnm.Print_Area" localSheetId="12">'% admitidos'!$A$1:$P$167</definedName>
    <definedName name="_xlnm.Print_Area" localSheetId="2">'Anx I pg 1 oferta'!$A$3:$K$57</definedName>
    <definedName name="_xlnm.Print_Area" localSheetId="3">'L1 ANDA EXTR Ceuta Melilla'!$A$3:$I$67</definedName>
    <definedName name="_xlnm.Print_Area" localSheetId="4">'L2 ARAG NAVA RIOJ PVASC'!$A$3:$I$68</definedName>
    <definedName name="_xlnm.Print_Area" localSheetId="5">'L3 MADR (Prado Rey)'!$A$3:$I$65</definedName>
    <definedName name="_xlnm.Print_Area" localSheetId="6">'L4 MADR (TorreEspaña y resto)'!$A$3:$I$65</definedName>
    <definedName name="_xlnm.Print_Area" localSheetId="7">'L5 VALE CMAN BALE MURC'!$A$3:$I$68</definedName>
    <definedName name="_xlnm.Print_Area" localSheetId="8">'L6 CANT CLEON ASTU'!$A$3:$I$67</definedName>
    <definedName name="_xlnm.Print_Area" localSheetId="9">'L7 CATAL'!$A$3:$I$65</definedName>
    <definedName name="_xlnm.Print_Area" localSheetId="10">'L8 GALIC'!$A$3:$I$65</definedName>
    <definedName name="_xlnm.Print_Area" localSheetId="11">'L9 CANAR'!$A$3:$I$65</definedName>
    <definedName name="_xlnm.Print_Area" localSheetId="0">'RESUMEN LOTES'!$B$1:$J$21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1" l="1"/>
  <c r="C46" i="11"/>
  <c r="C45" i="11"/>
  <c r="C44" i="11"/>
  <c r="C43" i="11"/>
  <c r="C42" i="11"/>
  <c r="C41" i="11"/>
  <c r="C40" i="11"/>
  <c r="C39" i="11"/>
  <c r="A149" i="6" l="1"/>
  <c r="A98" i="6"/>
  <c r="A58" i="6"/>
  <c r="A37" i="6"/>
  <c r="A156" i="5"/>
  <c r="A140" i="5"/>
  <c r="A104" i="5"/>
  <c r="A61" i="5"/>
  <c r="A54" i="5"/>
  <c r="A39" i="5"/>
  <c r="A136" i="2"/>
  <c r="A120" i="2"/>
  <c r="A109" i="2"/>
  <c r="A53" i="2"/>
  <c r="A46" i="2"/>
  <c r="A41" i="2"/>
  <c r="A144" i="1"/>
  <c r="A133" i="1"/>
  <c r="A56" i="1"/>
  <c r="A51" i="1"/>
  <c r="A65" i="3"/>
  <c r="A45" i="3"/>
  <c r="A43" i="3"/>
  <c r="A41" i="3"/>
  <c r="A39" i="3"/>
  <c r="A37" i="3"/>
  <c r="A35" i="3"/>
  <c r="A33" i="3"/>
  <c r="A31" i="3"/>
  <c r="A29" i="3"/>
  <c r="A28" i="3"/>
  <c r="A27" i="3"/>
  <c r="A26" i="3"/>
  <c r="A18" i="3"/>
  <c r="A17" i="3"/>
  <c r="A16" i="3"/>
  <c r="A15" i="3"/>
  <c r="A14" i="3"/>
  <c r="A13" i="3"/>
  <c r="A12" i="3"/>
  <c r="A166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65" i="9"/>
  <c r="A37" i="9"/>
  <c r="A35" i="9"/>
  <c r="A33" i="9"/>
  <c r="A31" i="9"/>
  <c r="A29" i="9"/>
  <c r="A28" i="9"/>
  <c r="A27" i="9"/>
  <c r="A26" i="9"/>
  <c r="A18" i="9"/>
  <c r="A17" i="9"/>
  <c r="A16" i="9"/>
  <c r="A15" i="9"/>
  <c r="A14" i="9"/>
  <c r="A13" i="9"/>
  <c r="A12" i="9"/>
  <c r="A166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65" i="8"/>
  <c r="A53" i="8"/>
  <c r="A51" i="8"/>
  <c r="A49" i="8"/>
  <c r="A47" i="8"/>
  <c r="A45" i="8"/>
  <c r="A43" i="8"/>
  <c r="A41" i="8"/>
  <c r="A39" i="8"/>
  <c r="A37" i="8"/>
  <c r="A35" i="8"/>
  <c r="A33" i="8"/>
  <c r="A31" i="8"/>
  <c r="A29" i="8"/>
  <c r="A28" i="8"/>
  <c r="A27" i="8"/>
  <c r="A26" i="8"/>
  <c r="A18" i="8"/>
  <c r="A17" i="8"/>
  <c r="A16" i="8"/>
  <c r="A15" i="8"/>
  <c r="A14" i="8"/>
  <c r="A13" i="8"/>
  <c r="A12" i="8"/>
  <c r="A16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65" i="7"/>
  <c r="A59" i="7"/>
  <c r="A57" i="7"/>
  <c r="A55" i="7"/>
  <c r="A53" i="7"/>
  <c r="A51" i="7"/>
  <c r="A49" i="7"/>
  <c r="A47" i="7"/>
  <c r="A45" i="7"/>
  <c r="A43" i="7"/>
  <c r="A41" i="7"/>
  <c r="A39" i="7"/>
  <c r="A37" i="7"/>
  <c r="A35" i="7"/>
  <c r="A33" i="7"/>
  <c r="A31" i="7"/>
  <c r="A29" i="7"/>
  <c r="A28" i="7"/>
  <c r="A27" i="7"/>
  <c r="A26" i="7"/>
  <c r="A18" i="7"/>
  <c r="A17" i="7"/>
  <c r="A16" i="7"/>
  <c r="A15" i="7"/>
  <c r="A14" i="7"/>
  <c r="A13" i="7"/>
  <c r="A12" i="7"/>
  <c r="A170" i="6"/>
  <c r="A159" i="6"/>
  <c r="A158" i="6"/>
  <c r="A157" i="6"/>
  <c r="A156" i="6"/>
  <c r="A155" i="6"/>
  <c r="A154" i="6"/>
  <c r="A153" i="6"/>
  <c r="A152" i="6"/>
  <c r="A151" i="6"/>
  <c r="A150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67" i="6"/>
  <c r="A61" i="6"/>
  <c r="A59" i="6"/>
  <c r="A56" i="6"/>
  <c r="A54" i="6"/>
  <c r="A52" i="6"/>
  <c r="A50" i="6"/>
  <c r="A48" i="6"/>
  <c r="A46" i="6"/>
  <c r="A44" i="6"/>
  <c r="A42" i="6"/>
  <c r="A40" i="6"/>
  <c r="A38" i="6"/>
  <c r="A35" i="6"/>
  <c r="A33" i="6"/>
  <c r="A31" i="6"/>
  <c r="A29" i="6"/>
  <c r="A28" i="6"/>
  <c r="A27" i="6"/>
  <c r="A26" i="6"/>
  <c r="A18" i="6"/>
  <c r="A17" i="6"/>
  <c r="A16" i="6"/>
  <c r="A15" i="6"/>
  <c r="A14" i="6"/>
  <c r="A13" i="6"/>
  <c r="A12" i="6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68" i="5"/>
  <c r="A66" i="5"/>
  <c r="A64" i="5"/>
  <c r="A62" i="5"/>
  <c r="A59" i="5"/>
  <c r="A57" i="5"/>
  <c r="A55" i="5"/>
  <c r="A52" i="5"/>
  <c r="A50" i="5"/>
  <c r="A48" i="5"/>
  <c r="A46" i="5"/>
  <c r="A44" i="5"/>
  <c r="A42" i="5"/>
  <c r="A40" i="5"/>
  <c r="A37" i="5"/>
  <c r="A35" i="5"/>
  <c r="A33" i="5"/>
  <c r="A31" i="5"/>
  <c r="A29" i="5"/>
  <c r="A28" i="5"/>
  <c r="A27" i="5"/>
  <c r="A26" i="5"/>
  <c r="A18" i="5"/>
  <c r="A17" i="5"/>
  <c r="A16" i="5"/>
  <c r="A15" i="5"/>
  <c r="A14" i="5"/>
  <c r="A13" i="5"/>
  <c r="A12" i="5"/>
  <c r="A16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65" i="4"/>
  <c r="A43" i="4"/>
  <c r="A41" i="4"/>
  <c r="A39" i="4"/>
  <c r="A37" i="4"/>
  <c r="A35" i="4"/>
  <c r="A33" i="4"/>
  <c r="A31" i="4"/>
  <c r="A29" i="4"/>
  <c r="A28" i="4"/>
  <c r="A27" i="4"/>
  <c r="A26" i="4"/>
  <c r="A18" i="4"/>
  <c r="A17" i="4"/>
  <c r="A16" i="4"/>
  <c r="A15" i="4"/>
  <c r="A14" i="4"/>
  <c r="A13" i="4"/>
  <c r="A12" i="4"/>
  <c r="A166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172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19" i="2"/>
  <c r="A118" i="2"/>
  <c r="A117" i="2"/>
  <c r="A116" i="2"/>
  <c r="A115" i="2"/>
  <c r="A114" i="2"/>
  <c r="A113" i="2"/>
  <c r="A112" i="2"/>
  <c r="A111" i="2"/>
  <c r="A110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68" i="2"/>
  <c r="A60" i="2"/>
  <c r="A58" i="2"/>
  <c r="A56" i="2"/>
  <c r="A54" i="2"/>
  <c r="A51" i="2"/>
  <c r="A49" i="2"/>
  <c r="A47" i="2"/>
  <c r="A44" i="2"/>
  <c r="A42" i="2"/>
  <c r="A39" i="2"/>
  <c r="A37" i="2"/>
  <c r="A35" i="2"/>
  <c r="A33" i="2"/>
  <c r="A31" i="2"/>
  <c r="A29" i="2"/>
  <c r="A28" i="2"/>
  <c r="A27" i="2"/>
  <c r="A26" i="2"/>
  <c r="A18" i="2"/>
  <c r="A17" i="2"/>
  <c r="A16" i="2"/>
  <c r="A15" i="2"/>
  <c r="A14" i="2"/>
  <c r="A13" i="2"/>
  <c r="A12" i="2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3" i="1"/>
  <c r="A142" i="1"/>
  <c r="A141" i="1"/>
  <c r="A140" i="1"/>
  <c r="A139" i="1"/>
  <c r="A138" i="1"/>
  <c r="A137" i="1"/>
  <c r="A136" i="1"/>
  <c r="A135" i="1"/>
  <c r="A134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67" i="1"/>
  <c r="A65" i="1"/>
  <c r="A63" i="1"/>
  <c r="A61" i="1"/>
  <c r="A59" i="1"/>
  <c r="A57" i="1"/>
  <c r="A54" i="1"/>
  <c r="A52" i="1"/>
  <c r="A49" i="1"/>
  <c r="A47" i="1"/>
  <c r="A45" i="1"/>
  <c r="A43" i="1"/>
  <c r="A41" i="1"/>
  <c r="A39" i="1"/>
  <c r="A37" i="1"/>
  <c r="A35" i="1"/>
  <c r="A33" i="1"/>
  <c r="A31" i="1"/>
  <c r="A29" i="1"/>
  <c r="A28" i="1"/>
  <c r="A27" i="1"/>
  <c r="A26" i="1"/>
  <c r="A18" i="1"/>
  <c r="A17" i="1"/>
  <c r="A16" i="1"/>
  <c r="A15" i="1"/>
  <c r="A14" i="1"/>
  <c r="A13" i="1"/>
  <c r="A12" i="1"/>
  <c r="G47" i="7" l="1"/>
  <c r="G49" i="2"/>
  <c r="G47" i="1"/>
  <c r="L647" i="14" l="1"/>
  <c r="L617" i="14"/>
  <c r="L547" i="14"/>
  <c r="L462" i="14"/>
  <c r="L375" i="14"/>
  <c r="L277" i="14"/>
  <c r="L232" i="14"/>
  <c r="L182" i="14"/>
  <c r="L99" i="14"/>
  <c r="G48" i="5"/>
  <c r="C157" i="5"/>
  <c r="A55" i="11" l="1"/>
  <c r="G15" i="10"/>
  <c r="G14" i="10"/>
  <c r="G13" i="10"/>
  <c r="G12" i="10"/>
  <c r="G11" i="10"/>
  <c r="G10" i="10"/>
  <c r="G9" i="10"/>
  <c r="G8" i="10"/>
  <c r="G7" i="10"/>
  <c r="L164" i="12"/>
  <c r="L163" i="12"/>
  <c r="L162" i="12"/>
  <c r="L160" i="12"/>
  <c r="L155" i="12"/>
  <c r="L154" i="12"/>
  <c r="L153" i="12"/>
  <c r="L152" i="12"/>
  <c r="L151" i="12"/>
  <c r="L150" i="12"/>
  <c r="L149" i="12"/>
  <c r="L147" i="12"/>
  <c r="L146" i="12"/>
  <c r="L145" i="12"/>
  <c r="L144" i="12"/>
  <c r="L143" i="12"/>
  <c r="L138" i="12"/>
  <c r="L137" i="12"/>
  <c r="L136" i="12"/>
  <c r="L135" i="12"/>
  <c r="L134" i="12"/>
  <c r="L133" i="12"/>
  <c r="L132" i="12"/>
  <c r="L131" i="12"/>
  <c r="L130" i="12"/>
  <c r="L129" i="12"/>
  <c r="L128" i="12"/>
  <c r="L126" i="12"/>
  <c r="L125" i="12"/>
  <c r="L124" i="12"/>
  <c r="L123" i="12"/>
  <c r="L117" i="12"/>
  <c r="L115" i="12"/>
  <c r="L114" i="12"/>
  <c r="L113" i="12"/>
  <c r="L112" i="12"/>
  <c r="L111" i="12"/>
  <c r="L110" i="12"/>
  <c r="L109" i="12"/>
  <c r="L108" i="12"/>
  <c r="L107" i="12"/>
  <c r="L106" i="12"/>
  <c r="L104" i="12"/>
  <c r="L103" i="12"/>
  <c r="L102" i="12"/>
  <c r="L101" i="12"/>
  <c r="L96" i="12"/>
  <c r="L95" i="12"/>
  <c r="L94" i="12"/>
  <c r="L92" i="12"/>
  <c r="L91" i="12"/>
  <c r="L90" i="12"/>
  <c r="L88" i="12"/>
  <c r="L87" i="12"/>
  <c r="L86" i="12"/>
  <c r="L85" i="12"/>
  <c r="L84" i="12"/>
  <c r="L82" i="12"/>
  <c r="L80" i="12"/>
  <c r="L79" i="12"/>
  <c r="L78" i="12"/>
  <c r="L77" i="12"/>
  <c r="L76" i="12"/>
  <c r="L71" i="12"/>
  <c r="L70" i="12"/>
  <c r="L69" i="12"/>
  <c r="L68" i="12"/>
  <c r="L67" i="12"/>
  <c r="L66" i="12"/>
  <c r="L65" i="12"/>
  <c r="L59" i="12"/>
  <c r="L58" i="12"/>
  <c r="L57" i="12"/>
  <c r="L56" i="12"/>
  <c r="L55" i="12"/>
  <c r="L54" i="12"/>
  <c r="L52" i="12"/>
  <c r="L51" i="12"/>
  <c r="H33" i="3"/>
  <c r="G33" i="9"/>
  <c r="F96" i="9"/>
  <c r="E96" i="9"/>
  <c r="D96" i="9"/>
  <c r="C96" i="9"/>
  <c r="F91" i="9"/>
  <c r="E91" i="9"/>
  <c r="D91" i="9"/>
  <c r="C91" i="9"/>
  <c r="F86" i="9"/>
  <c r="E86" i="9"/>
  <c r="D86" i="9"/>
  <c r="C86" i="9"/>
  <c r="F81" i="9"/>
  <c r="E81" i="9"/>
  <c r="D81" i="9"/>
  <c r="C81" i="9"/>
  <c r="F76" i="9"/>
  <c r="E76" i="9"/>
  <c r="D76" i="9"/>
  <c r="C76" i="9"/>
  <c r="K75" i="9"/>
  <c r="C75" i="9"/>
  <c r="C74" i="9"/>
  <c r="B74" i="9"/>
  <c r="G37" i="9"/>
  <c r="G96" i="9" s="1"/>
  <c r="F37" i="9"/>
  <c r="E37" i="9"/>
  <c r="C37" i="9"/>
  <c r="G35" i="9"/>
  <c r="G91" i="9" s="1"/>
  <c r="F35" i="9"/>
  <c r="E35" i="9"/>
  <c r="C35" i="9"/>
  <c r="F33" i="9"/>
  <c r="E33" i="9"/>
  <c r="C33" i="9"/>
  <c r="F31" i="9"/>
  <c r="E31" i="9"/>
  <c r="C31" i="9"/>
  <c r="G29" i="9"/>
  <c r="F29" i="9"/>
  <c r="E29" i="9"/>
  <c r="C29" i="9"/>
  <c r="I28" i="9"/>
  <c r="B11" i="9"/>
  <c r="B72" i="9" s="1"/>
  <c r="G47" i="8"/>
  <c r="F136" i="8"/>
  <c r="E136" i="8"/>
  <c r="D136" i="8"/>
  <c r="C136" i="8"/>
  <c r="F131" i="8"/>
  <c r="E131" i="8"/>
  <c r="D131" i="8"/>
  <c r="C131" i="8"/>
  <c r="F126" i="8"/>
  <c r="E126" i="8"/>
  <c r="D126" i="8"/>
  <c r="C126" i="8"/>
  <c r="F121" i="8"/>
  <c r="E121" i="8"/>
  <c r="D121" i="8"/>
  <c r="C121" i="8"/>
  <c r="F116" i="8"/>
  <c r="E116" i="8"/>
  <c r="D116" i="8"/>
  <c r="C116" i="8"/>
  <c r="F111" i="8"/>
  <c r="E111" i="8"/>
  <c r="D111" i="8"/>
  <c r="C111" i="8"/>
  <c r="F106" i="8"/>
  <c r="E106" i="8"/>
  <c r="D106" i="8"/>
  <c r="C106" i="8"/>
  <c r="F101" i="8"/>
  <c r="E101" i="8"/>
  <c r="D101" i="8"/>
  <c r="C101" i="8"/>
  <c r="F96" i="8"/>
  <c r="E96" i="8"/>
  <c r="D96" i="8"/>
  <c r="C96" i="8"/>
  <c r="F91" i="8"/>
  <c r="E91" i="8"/>
  <c r="D91" i="8"/>
  <c r="C91" i="8"/>
  <c r="F86" i="8"/>
  <c r="E86" i="8"/>
  <c r="D86" i="8"/>
  <c r="C86" i="8"/>
  <c r="F81" i="8"/>
  <c r="E81" i="8"/>
  <c r="D81" i="8"/>
  <c r="C81" i="8"/>
  <c r="F76" i="8"/>
  <c r="E76" i="8"/>
  <c r="D76" i="8"/>
  <c r="C76" i="8"/>
  <c r="K75" i="8"/>
  <c r="C75" i="8"/>
  <c r="C74" i="8"/>
  <c r="B74" i="8"/>
  <c r="G53" i="8"/>
  <c r="G136" i="8" s="1"/>
  <c r="F53" i="8"/>
  <c r="E53" i="8"/>
  <c r="C53" i="8"/>
  <c r="G51" i="8"/>
  <c r="G131" i="8" s="1"/>
  <c r="F51" i="8"/>
  <c r="E51" i="8"/>
  <c r="C51" i="8"/>
  <c r="G49" i="8"/>
  <c r="G126" i="8" s="1"/>
  <c r="F49" i="8"/>
  <c r="E49" i="8"/>
  <c r="C49" i="8"/>
  <c r="F47" i="8"/>
  <c r="E47" i="8"/>
  <c r="C47" i="8"/>
  <c r="G45" i="8"/>
  <c r="G116" i="8" s="1"/>
  <c r="F45" i="8"/>
  <c r="E45" i="8"/>
  <c r="C45" i="8"/>
  <c r="G43" i="8"/>
  <c r="G111" i="8" s="1"/>
  <c r="F43" i="8"/>
  <c r="E43" i="8"/>
  <c r="C43" i="8"/>
  <c r="G41" i="8"/>
  <c r="G106" i="8" s="1"/>
  <c r="F41" i="8"/>
  <c r="E41" i="8"/>
  <c r="C41" i="8"/>
  <c r="H39" i="8"/>
  <c r="F39" i="8"/>
  <c r="E39" i="8"/>
  <c r="C39" i="8"/>
  <c r="G37" i="8"/>
  <c r="G96" i="8" s="1"/>
  <c r="F37" i="8"/>
  <c r="E37" i="8"/>
  <c r="C37" i="8"/>
  <c r="G35" i="8"/>
  <c r="G91" i="8" s="1"/>
  <c r="F35" i="8"/>
  <c r="E35" i="8"/>
  <c r="C35" i="8"/>
  <c r="G33" i="8"/>
  <c r="G86" i="8" s="1"/>
  <c r="F33" i="8"/>
  <c r="E33" i="8"/>
  <c r="C33" i="8"/>
  <c r="G31" i="8"/>
  <c r="G81" i="8" s="1"/>
  <c r="F31" i="8"/>
  <c r="E31" i="8"/>
  <c r="C31" i="8"/>
  <c r="G29" i="8"/>
  <c r="F29" i="8"/>
  <c r="E29" i="8"/>
  <c r="C29" i="8"/>
  <c r="I28" i="8"/>
  <c r="B11" i="8"/>
  <c r="B72" i="8" s="1"/>
  <c r="G39" i="7"/>
  <c r="F39" i="7"/>
  <c r="G48" i="6"/>
  <c r="F151" i="7"/>
  <c r="E151" i="7"/>
  <c r="D151" i="7"/>
  <c r="C151" i="7"/>
  <c r="F146" i="7"/>
  <c r="E146" i="7"/>
  <c r="D146" i="7"/>
  <c r="C146" i="7"/>
  <c r="F141" i="7"/>
  <c r="E141" i="7"/>
  <c r="D141" i="7"/>
  <c r="C141" i="7"/>
  <c r="F136" i="7"/>
  <c r="E136" i="7"/>
  <c r="D136" i="7"/>
  <c r="C136" i="7"/>
  <c r="F131" i="7"/>
  <c r="E131" i="7"/>
  <c r="D131" i="7"/>
  <c r="C131" i="7"/>
  <c r="F126" i="7"/>
  <c r="E126" i="7"/>
  <c r="D126" i="7"/>
  <c r="C126" i="7"/>
  <c r="F121" i="7"/>
  <c r="E121" i="7"/>
  <c r="D121" i="7"/>
  <c r="C121" i="7"/>
  <c r="F116" i="7"/>
  <c r="E116" i="7"/>
  <c r="D116" i="7"/>
  <c r="C116" i="7"/>
  <c r="F111" i="7"/>
  <c r="E111" i="7"/>
  <c r="D111" i="7"/>
  <c r="C111" i="7"/>
  <c r="F106" i="7"/>
  <c r="E106" i="7"/>
  <c r="D106" i="7"/>
  <c r="C106" i="7"/>
  <c r="F101" i="7"/>
  <c r="E101" i="7"/>
  <c r="D101" i="7"/>
  <c r="C101" i="7"/>
  <c r="F96" i="7"/>
  <c r="E96" i="7"/>
  <c r="D96" i="7"/>
  <c r="C96" i="7"/>
  <c r="F91" i="7"/>
  <c r="E91" i="7"/>
  <c r="D91" i="7"/>
  <c r="C91" i="7"/>
  <c r="F86" i="7"/>
  <c r="E86" i="7"/>
  <c r="D86" i="7"/>
  <c r="C86" i="7"/>
  <c r="F81" i="7"/>
  <c r="E81" i="7"/>
  <c r="D81" i="7"/>
  <c r="C81" i="7"/>
  <c r="F76" i="7"/>
  <c r="E76" i="7"/>
  <c r="D76" i="7"/>
  <c r="C76" i="7"/>
  <c r="K75" i="7"/>
  <c r="C75" i="7"/>
  <c r="C74" i="7"/>
  <c r="B74" i="7"/>
  <c r="G59" i="7"/>
  <c r="G151" i="7" s="1"/>
  <c r="F59" i="7"/>
  <c r="E59" i="7"/>
  <c r="C59" i="7"/>
  <c r="G57" i="7"/>
  <c r="G146" i="7" s="1"/>
  <c r="F57" i="7"/>
  <c r="E57" i="7"/>
  <c r="C57" i="7"/>
  <c r="G55" i="7"/>
  <c r="G141" i="7" s="1"/>
  <c r="F55" i="7"/>
  <c r="E55" i="7"/>
  <c r="C55" i="7"/>
  <c r="G53" i="7"/>
  <c r="G136" i="7" s="1"/>
  <c r="F53" i="7"/>
  <c r="E53" i="7"/>
  <c r="C53" i="7"/>
  <c r="G51" i="7"/>
  <c r="G131" i="7" s="1"/>
  <c r="F51" i="7"/>
  <c r="E51" i="7"/>
  <c r="C51" i="7"/>
  <c r="G49" i="7"/>
  <c r="G126" i="7" s="1"/>
  <c r="F49" i="7"/>
  <c r="E49" i="7"/>
  <c r="C49" i="7"/>
  <c r="F47" i="7"/>
  <c r="E47" i="7"/>
  <c r="C47" i="7"/>
  <c r="G45" i="7"/>
  <c r="G116" i="7" s="1"/>
  <c r="F45" i="7"/>
  <c r="E45" i="7"/>
  <c r="C45" i="7"/>
  <c r="G43" i="7"/>
  <c r="G111" i="7" s="1"/>
  <c r="F43" i="7"/>
  <c r="E43" i="7"/>
  <c r="C43" i="7"/>
  <c r="G41" i="7"/>
  <c r="G106" i="7" s="1"/>
  <c r="F41" i="7"/>
  <c r="E41" i="7"/>
  <c r="C41" i="7"/>
  <c r="E39" i="7"/>
  <c r="C39" i="7"/>
  <c r="F37" i="7"/>
  <c r="E37" i="7"/>
  <c r="C37" i="7"/>
  <c r="G35" i="7"/>
  <c r="G91" i="7" s="1"/>
  <c r="F35" i="7"/>
  <c r="E35" i="7"/>
  <c r="C35" i="7"/>
  <c r="G33" i="7"/>
  <c r="G86" i="7" s="1"/>
  <c r="F33" i="7"/>
  <c r="E33" i="7"/>
  <c r="C33" i="7"/>
  <c r="G31" i="7"/>
  <c r="G81" i="7" s="1"/>
  <c r="F31" i="7"/>
  <c r="E31" i="7"/>
  <c r="C31" i="7"/>
  <c r="G29" i="7"/>
  <c r="F29" i="7"/>
  <c r="E29" i="7"/>
  <c r="C29" i="7"/>
  <c r="I28" i="7"/>
  <c r="B11" i="7"/>
  <c r="B72" i="7" s="1"/>
  <c r="G40" i="6"/>
  <c r="F155" i="6"/>
  <c r="E155" i="6"/>
  <c r="D155" i="6"/>
  <c r="C155" i="6"/>
  <c r="F150" i="6"/>
  <c r="E150" i="6"/>
  <c r="D150" i="6"/>
  <c r="C150" i="6"/>
  <c r="F144" i="6"/>
  <c r="E144" i="6"/>
  <c r="D144" i="6"/>
  <c r="C144" i="6"/>
  <c r="F139" i="6"/>
  <c r="E139" i="6"/>
  <c r="D139" i="6"/>
  <c r="C139" i="6"/>
  <c r="F134" i="6"/>
  <c r="E134" i="6"/>
  <c r="D134" i="6"/>
  <c r="C134" i="6"/>
  <c r="F129" i="6"/>
  <c r="E129" i="6"/>
  <c r="D129" i="6"/>
  <c r="C129" i="6"/>
  <c r="F124" i="6"/>
  <c r="E124" i="6"/>
  <c r="D124" i="6"/>
  <c r="C124" i="6"/>
  <c r="F119" i="6"/>
  <c r="E119" i="6"/>
  <c r="D119" i="6"/>
  <c r="C119" i="6"/>
  <c r="F114" i="6"/>
  <c r="E114" i="6"/>
  <c r="D114" i="6"/>
  <c r="C114" i="6"/>
  <c r="F109" i="6"/>
  <c r="E109" i="6"/>
  <c r="D109" i="6"/>
  <c r="C109" i="6"/>
  <c r="F104" i="6"/>
  <c r="E104" i="6"/>
  <c r="D104" i="6"/>
  <c r="C104" i="6"/>
  <c r="F99" i="6"/>
  <c r="E99" i="6"/>
  <c r="D99" i="6"/>
  <c r="C99" i="6"/>
  <c r="F93" i="6"/>
  <c r="E93" i="6"/>
  <c r="D93" i="6"/>
  <c r="C93" i="6"/>
  <c r="F88" i="6"/>
  <c r="E88" i="6"/>
  <c r="D88" i="6"/>
  <c r="C88" i="6"/>
  <c r="F83" i="6"/>
  <c r="E83" i="6"/>
  <c r="D83" i="6"/>
  <c r="C83" i="6"/>
  <c r="F78" i="6"/>
  <c r="E78" i="6"/>
  <c r="D78" i="6"/>
  <c r="C78" i="6"/>
  <c r="K77" i="6"/>
  <c r="C77" i="6"/>
  <c r="C76" i="6"/>
  <c r="B76" i="6"/>
  <c r="F61" i="6"/>
  <c r="E61" i="6"/>
  <c r="C61" i="6"/>
  <c r="G59" i="6"/>
  <c r="G150" i="6" s="1"/>
  <c r="F59" i="6"/>
  <c r="E59" i="6"/>
  <c r="C59" i="6"/>
  <c r="G56" i="6"/>
  <c r="G144" i="6" s="1"/>
  <c r="F56" i="6"/>
  <c r="E56" i="6"/>
  <c r="C56" i="6"/>
  <c r="G54" i="6"/>
  <c r="G139" i="6" s="1"/>
  <c r="F54" i="6"/>
  <c r="E54" i="6"/>
  <c r="C54" i="6"/>
  <c r="G52" i="6"/>
  <c r="G134" i="6" s="1"/>
  <c r="F52" i="6"/>
  <c r="E52" i="6"/>
  <c r="C52" i="6"/>
  <c r="G50" i="6"/>
  <c r="G129" i="6" s="1"/>
  <c r="F50" i="6"/>
  <c r="E50" i="6"/>
  <c r="C50" i="6"/>
  <c r="F48" i="6"/>
  <c r="E48" i="6"/>
  <c r="C48" i="6"/>
  <c r="G46" i="6"/>
  <c r="G119" i="6" s="1"/>
  <c r="F46" i="6"/>
  <c r="E46" i="6"/>
  <c r="C46" i="6"/>
  <c r="G44" i="6"/>
  <c r="G114" i="6" s="1"/>
  <c r="F44" i="6"/>
  <c r="E44" i="6"/>
  <c r="C44" i="6"/>
  <c r="G42" i="6"/>
  <c r="G109" i="6" s="1"/>
  <c r="F42" i="6"/>
  <c r="E42" i="6"/>
  <c r="C42" i="6"/>
  <c r="F40" i="6"/>
  <c r="E40" i="6"/>
  <c r="C40" i="6"/>
  <c r="G38" i="6"/>
  <c r="G99" i="6" s="1"/>
  <c r="F38" i="6"/>
  <c r="E38" i="6"/>
  <c r="C38" i="6"/>
  <c r="G35" i="6"/>
  <c r="G93" i="6" s="1"/>
  <c r="F35" i="6"/>
  <c r="E35" i="6"/>
  <c r="C35" i="6"/>
  <c r="G33" i="6"/>
  <c r="G88" i="6" s="1"/>
  <c r="F33" i="6"/>
  <c r="E33" i="6"/>
  <c r="C33" i="6"/>
  <c r="G31" i="6"/>
  <c r="G83" i="6" s="1"/>
  <c r="F31" i="6"/>
  <c r="E31" i="6"/>
  <c r="C31" i="6"/>
  <c r="G29" i="6"/>
  <c r="F29" i="6"/>
  <c r="E29" i="6"/>
  <c r="C29" i="6"/>
  <c r="I28" i="6"/>
  <c r="B11" i="6"/>
  <c r="B74" i="6" s="1"/>
  <c r="G40" i="5"/>
  <c r="F167" i="5"/>
  <c r="E167" i="5"/>
  <c r="D167" i="5"/>
  <c r="C167" i="5"/>
  <c r="F162" i="5"/>
  <c r="E162" i="5"/>
  <c r="D162" i="5"/>
  <c r="C162" i="5"/>
  <c r="F157" i="5"/>
  <c r="E157" i="5"/>
  <c r="D157" i="5"/>
  <c r="F151" i="5"/>
  <c r="E151" i="5"/>
  <c r="D151" i="5"/>
  <c r="C151" i="5"/>
  <c r="F146" i="5"/>
  <c r="E146" i="5"/>
  <c r="D146" i="5"/>
  <c r="C146" i="5"/>
  <c r="F141" i="5"/>
  <c r="E141" i="5"/>
  <c r="D141" i="5"/>
  <c r="C141" i="5"/>
  <c r="F135" i="5"/>
  <c r="E135" i="5"/>
  <c r="D135" i="5"/>
  <c r="C135" i="5"/>
  <c r="F130" i="5"/>
  <c r="E130" i="5"/>
  <c r="D130" i="5"/>
  <c r="C130" i="5"/>
  <c r="F125" i="5"/>
  <c r="E125" i="5"/>
  <c r="D125" i="5"/>
  <c r="C125" i="5"/>
  <c r="F120" i="5"/>
  <c r="E120" i="5"/>
  <c r="D120" i="5"/>
  <c r="C120" i="5"/>
  <c r="F115" i="5"/>
  <c r="E115" i="5"/>
  <c r="D115" i="5"/>
  <c r="C115" i="5"/>
  <c r="F110" i="5"/>
  <c r="E110" i="5"/>
  <c r="D110" i="5"/>
  <c r="C110" i="5"/>
  <c r="F105" i="5"/>
  <c r="E105" i="5"/>
  <c r="D105" i="5"/>
  <c r="C105" i="5"/>
  <c r="F99" i="5"/>
  <c r="E99" i="5"/>
  <c r="D99" i="5"/>
  <c r="C99" i="5"/>
  <c r="F94" i="5"/>
  <c r="E94" i="5"/>
  <c r="D94" i="5"/>
  <c r="C94" i="5"/>
  <c r="F89" i="5"/>
  <c r="E89" i="5"/>
  <c r="D89" i="5"/>
  <c r="C89" i="5"/>
  <c r="F84" i="5"/>
  <c r="E84" i="5"/>
  <c r="D84" i="5"/>
  <c r="C84" i="5"/>
  <c r="F79" i="5"/>
  <c r="E79" i="5"/>
  <c r="D79" i="5"/>
  <c r="C79" i="5"/>
  <c r="K78" i="5"/>
  <c r="C78" i="5"/>
  <c r="C77" i="5"/>
  <c r="B77" i="5"/>
  <c r="G66" i="5"/>
  <c r="G167" i="5" s="1"/>
  <c r="F66" i="5"/>
  <c r="E66" i="5"/>
  <c r="C66" i="5"/>
  <c r="G64" i="5"/>
  <c r="G162" i="5" s="1"/>
  <c r="F64" i="5"/>
  <c r="E64" i="5"/>
  <c r="C64" i="5"/>
  <c r="G62" i="5"/>
  <c r="G157" i="5" s="1"/>
  <c r="F62" i="5"/>
  <c r="E62" i="5"/>
  <c r="C62" i="5"/>
  <c r="G59" i="5"/>
  <c r="G151" i="5" s="1"/>
  <c r="F59" i="5"/>
  <c r="E59" i="5"/>
  <c r="C59" i="5"/>
  <c r="G57" i="5"/>
  <c r="G146" i="5" s="1"/>
  <c r="F57" i="5"/>
  <c r="E57" i="5"/>
  <c r="C57" i="5"/>
  <c r="G55" i="5"/>
  <c r="G141" i="5" s="1"/>
  <c r="F55" i="5"/>
  <c r="E55" i="5"/>
  <c r="C55" i="5"/>
  <c r="G52" i="5"/>
  <c r="G135" i="5" s="1"/>
  <c r="F52" i="5"/>
  <c r="E52" i="5"/>
  <c r="C52" i="5"/>
  <c r="G50" i="5"/>
  <c r="G130" i="5" s="1"/>
  <c r="F50" i="5"/>
  <c r="E50" i="5"/>
  <c r="C50" i="5"/>
  <c r="F48" i="5"/>
  <c r="E48" i="5"/>
  <c r="C48" i="5"/>
  <c r="G46" i="5"/>
  <c r="G120" i="5" s="1"/>
  <c r="F46" i="5"/>
  <c r="E46" i="5"/>
  <c r="C46" i="5"/>
  <c r="G44" i="5"/>
  <c r="G115" i="5" s="1"/>
  <c r="F44" i="5"/>
  <c r="E44" i="5"/>
  <c r="C44" i="5"/>
  <c r="F42" i="5"/>
  <c r="E42" i="5"/>
  <c r="C42" i="5"/>
  <c r="F40" i="5"/>
  <c r="E40" i="5"/>
  <c r="C40" i="5"/>
  <c r="G37" i="5"/>
  <c r="G99" i="5" s="1"/>
  <c r="F37" i="5"/>
  <c r="E37" i="5"/>
  <c r="C37" i="5"/>
  <c r="G35" i="5"/>
  <c r="G94" i="5" s="1"/>
  <c r="F35" i="5"/>
  <c r="E35" i="5"/>
  <c r="C35" i="5"/>
  <c r="G33" i="5"/>
  <c r="G89" i="5" s="1"/>
  <c r="F33" i="5"/>
  <c r="E33" i="5"/>
  <c r="C33" i="5"/>
  <c r="G31" i="5"/>
  <c r="G84" i="5" s="1"/>
  <c r="F31" i="5"/>
  <c r="E31" i="5"/>
  <c r="C31" i="5"/>
  <c r="G29" i="5"/>
  <c r="F29" i="5"/>
  <c r="E29" i="5"/>
  <c r="C29" i="5"/>
  <c r="I28" i="5"/>
  <c r="B11" i="5"/>
  <c r="B75" i="5" s="1"/>
  <c r="G39" i="4"/>
  <c r="F111" i="4"/>
  <c r="E111" i="4"/>
  <c r="D111" i="4"/>
  <c r="C111" i="4"/>
  <c r="F106" i="4"/>
  <c r="E106" i="4"/>
  <c r="D106" i="4"/>
  <c r="C106" i="4"/>
  <c r="F101" i="4"/>
  <c r="E101" i="4"/>
  <c r="D101" i="4"/>
  <c r="C101" i="4"/>
  <c r="F96" i="4"/>
  <c r="E96" i="4"/>
  <c r="D96" i="4"/>
  <c r="C96" i="4"/>
  <c r="F91" i="4"/>
  <c r="E91" i="4"/>
  <c r="D91" i="4"/>
  <c r="C91" i="4"/>
  <c r="F86" i="4"/>
  <c r="E86" i="4"/>
  <c r="D86" i="4"/>
  <c r="C86" i="4"/>
  <c r="F81" i="4"/>
  <c r="E81" i="4"/>
  <c r="D81" i="4"/>
  <c r="C81" i="4"/>
  <c r="F76" i="4"/>
  <c r="E76" i="4"/>
  <c r="D76" i="4"/>
  <c r="C76" i="4"/>
  <c r="K75" i="4"/>
  <c r="C75" i="4"/>
  <c r="C74" i="4"/>
  <c r="B74" i="4"/>
  <c r="G43" i="4"/>
  <c r="G111" i="4" s="1"/>
  <c r="F43" i="4"/>
  <c r="E43" i="4"/>
  <c r="C43" i="4"/>
  <c r="G41" i="4"/>
  <c r="G106" i="4" s="1"/>
  <c r="F41" i="4"/>
  <c r="E41" i="4"/>
  <c r="C41" i="4"/>
  <c r="F39" i="4"/>
  <c r="E39" i="4"/>
  <c r="C39" i="4"/>
  <c r="G37" i="4"/>
  <c r="G96" i="4" s="1"/>
  <c r="F37" i="4"/>
  <c r="E37" i="4"/>
  <c r="C37" i="4"/>
  <c r="G35" i="4"/>
  <c r="G91" i="4" s="1"/>
  <c r="F35" i="4"/>
  <c r="E35" i="4"/>
  <c r="C35" i="4"/>
  <c r="G33" i="4"/>
  <c r="G86" i="4" s="1"/>
  <c r="F33" i="4"/>
  <c r="E33" i="4"/>
  <c r="C33" i="4"/>
  <c r="G31" i="4"/>
  <c r="G81" i="4" s="1"/>
  <c r="F31" i="4"/>
  <c r="E31" i="4"/>
  <c r="C31" i="4"/>
  <c r="F29" i="4"/>
  <c r="E29" i="4"/>
  <c r="C29" i="4"/>
  <c r="I28" i="4"/>
  <c r="B11" i="4"/>
  <c r="B72" i="4" s="1"/>
  <c r="G39" i="3"/>
  <c r="F116" i="3"/>
  <c r="E116" i="3"/>
  <c r="D116" i="3"/>
  <c r="C116" i="3"/>
  <c r="F111" i="3"/>
  <c r="E111" i="3"/>
  <c r="D111" i="3"/>
  <c r="C111" i="3"/>
  <c r="F106" i="3"/>
  <c r="E106" i="3"/>
  <c r="D106" i="3"/>
  <c r="C106" i="3"/>
  <c r="F101" i="3"/>
  <c r="E101" i="3"/>
  <c r="D101" i="3"/>
  <c r="C101" i="3"/>
  <c r="F96" i="3"/>
  <c r="E96" i="3"/>
  <c r="D96" i="3"/>
  <c r="C96" i="3"/>
  <c r="F91" i="3"/>
  <c r="E91" i="3"/>
  <c r="D91" i="3"/>
  <c r="C91" i="3"/>
  <c r="F86" i="3"/>
  <c r="E86" i="3"/>
  <c r="D86" i="3"/>
  <c r="C86" i="3"/>
  <c r="F81" i="3"/>
  <c r="E81" i="3"/>
  <c r="D81" i="3"/>
  <c r="C81" i="3"/>
  <c r="F76" i="3"/>
  <c r="E76" i="3"/>
  <c r="D76" i="3"/>
  <c r="C76" i="3"/>
  <c r="K75" i="3"/>
  <c r="G45" i="3"/>
  <c r="G116" i="3" s="1"/>
  <c r="F45" i="3"/>
  <c r="E45" i="3"/>
  <c r="C45" i="3"/>
  <c r="G43" i="3"/>
  <c r="G111" i="3" s="1"/>
  <c r="F43" i="3"/>
  <c r="E43" i="3"/>
  <c r="C43" i="3"/>
  <c r="G41" i="3"/>
  <c r="G106" i="3" s="1"/>
  <c r="F41" i="3"/>
  <c r="E41" i="3"/>
  <c r="C41" i="3"/>
  <c r="F39" i="3"/>
  <c r="E39" i="3"/>
  <c r="C39" i="3"/>
  <c r="G37" i="3"/>
  <c r="G96" i="3" s="1"/>
  <c r="F37" i="3"/>
  <c r="E37" i="3"/>
  <c r="C37" i="3"/>
  <c r="G35" i="3"/>
  <c r="G91" i="3" s="1"/>
  <c r="F35" i="3"/>
  <c r="E35" i="3"/>
  <c r="C35" i="3"/>
  <c r="F33" i="3"/>
  <c r="E33" i="3"/>
  <c r="C33" i="3"/>
  <c r="G31" i="3"/>
  <c r="G81" i="3" s="1"/>
  <c r="F31" i="3"/>
  <c r="E31" i="3"/>
  <c r="C31" i="3"/>
  <c r="G29" i="3"/>
  <c r="F29" i="3"/>
  <c r="E29" i="3"/>
  <c r="C29" i="3"/>
  <c r="I28" i="3"/>
  <c r="B11" i="3"/>
  <c r="B72" i="3" s="1"/>
  <c r="G39" i="2"/>
  <c r="F39" i="2"/>
  <c r="F33" i="2"/>
  <c r="F49" i="2"/>
  <c r="F35" i="2"/>
  <c r="F60" i="2"/>
  <c r="F58" i="2"/>
  <c r="F56" i="2"/>
  <c r="F54" i="2"/>
  <c r="F51" i="2"/>
  <c r="F47" i="2"/>
  <c r="F44" i="2"/>
  <c r="F42" i="2"/>
  <c r="F37" i="2"/>
  <c r="F31" i="2"/>
  <c r="F65" i="1"/>
  <c r="F63" i="1"/>
  <c r="F61" i="1"/>
  <c r="F59" i="1"/>
  <c r="F57" i="1"/>
  <c r="F54" i="1"/>
  <c r="F52" i="1"/>
  <c r="F49" i="1"/>
  <c r="F47" i="1"/>
  <c r="F45" i="1"/>
  <c r="F43" i="1"/>
  <c r="F41" i="1"/>
  <c r="F39" i="1"/>
  <c r="F37" i="1"/>
  <c r="F35" i="1"/>
  <c r="F33" i="1"/>
  <c r="F31" i="1"/>
  <c r="L46" i="12"/>
  <c r="L45" i="12"/>
  <c r="L43" i="12"/>
  <c r="L41" i="12"/>
  <c r="L40" i="12"/>
  <c r="L39" i="12"/>
  <c r="L37" i="12"/>
  <c r="L36" i="12"/>
  <c r="L34" i="12"/>
  <c r="L33" i="12"/>
  <c r="L32" i="12"/>
  <c r="L31" i="12"/>
  <c r="L30" i="12"/>
  <c r="L29" i="12"/>
  <c r="F152" i="2"/>
  <c r="E152" i="2"/>
  <c r="D152" i="2"/>
  <c r="C152" i="2"/>
  <c r="F147" i="2"/>
  <c r="E147" i="2"/>
  <c r="D147" i="2"/>
  <c r="C147" i="2"/>
  <c r="F142" i="2"/>
  <c r="E142" i="2"/>
  <c r="D142" i="2"/>
  <c r="C142" i="2"/>
  <c r="F137" i="2"/>
  <c r="E137" i="2"/>
  <c r="D137" i="2"/>
  <c r="C137" i="2"/>
  <c r="F131" i="2"/>
  <c r="E131" i="2"/>
  <c r="D131" i="2"/>
  <c r="C131" i="2"/>
  <c r="F126" i="2"/>
  <c r="E126" i="2"/>
  <c r="D126" i="2"/>
  <c r="C126" i="2"/>
  <c r="F121" i="2"/>
  <c r="E121" i="2"/>
  <c r="D121" i="2"/>
  <c r="C121" i="2"/>
  <c r="F115" i="2"/>
  <c r="E115" i="2"/>
  <c r="D115" i="2"/>
  <c r="C115" i="2"/>
  <c r="F110" i="2"/>
  <c r="E110" i="2"/>
  <c r="D110" i="2"/>
  <c r="C110" i="2"/>
  <c r="F104" i="2"/>
  <c r="E104" i="2"/>
  <c r="D104" i="2"/>
  <c r="C104" i="2"/>
  <c r="F99" i="2"/>
  <c r="E99" i="2"/>
  <c r="D99" i="2"/>
  <c r="C99" i="2"/>
  <c r="F94" i="2"/>
  <c r="E94" i="2"/>
  <c r="D94" i="2"/>
  <c r="C94" i="2"/>
  <c r="F89" i="2"/>
  <c r="E89" i="2"/>
  <c r="D89" i="2"/>
  <c r="C89" i="2"/>
  <c r="F84" i="2"/>
  <c r="E84" i="2"/>
  <c r="D84" i="2"/>
  <c r="C84" i="2"/>
  <c r="F79" i="2"/>
  <c r="E79" i="2"/>
  <c r="D79" i="2"/>
  <c r="C79" i="2"/>
  <c r="K78" i="2"/>
  <c r="G60" i="2"/>
  <c r="G152" i="2" s="1"/>
  <c r="E60" i="2"/>
  <c r="C60" i="2"/>
  <c r="G58" i="2"/>
  <c r="G147" i="2" s="1"/>
  <c r="E58" i="2"/>
  <c r="C58" i="2"/>
  <c r="E56" i="2"/>
  <c r="C56" i="2"/>
  <c r="G54" i="2"/>
  <c r="G137" i="2" s="1"/>
  <c r="E54" i="2"/>
  <c r="C54" i="2"/>
  <c r="G51" i="2"/>
  <c r="G131" i="2" s="1"/>
  <c r="E51" i="2"/>
  <c r="C51" i="2"/>
  <c r="E49" i="2"/>
  <c r="C49" i="2"/>
  <c r="G47" i="2"/>
  <c r="G121" i="2" s="1"/>
  <c r="E47" i="2"/>
  <c r="C47" i="2"/>
  <c r="G44" i="2"/>
  <c r="G115" i="2" s="1"/>
  <c r="E44" i="2"/>
  <c r="C44" i="2"/>
  <c r="G42" i="2"/>
  <c r="G110" i="2" s="1"/>
  <c r="E42" i="2"/>
  <c r="C42" i="2"/>
  <c r="E39" i="2"/>
  <c r="C39" i="2"/>
  <c r="G37" i="2"/>
  <c r="G99" i="2" s="1"/>
  <c r="E37" i="2"/>
  <c r="C37" i="2"/>
  <c r="G35" i="2"/>
  <c r="G94" i="2" s="1"/>
  <c r="E35" i="2"/>
  <c r="C35" i="2"/>
  <c r="E33" i="2"/>
  <c r="C33" i="2"/>
  <c r="G31" i="2"/>
  <c r="E31" i="2"/>
  <c r="C31" i="2"/>
  <c r="G29" i="2"/>
  <c r="F29" i="2"/>
  <c r="E29" i="2"/>
  <c r="C29" i="2"/>
  <c r="I28" i="2"/>
  <c r="B11" i="2"/>
  <c r="B75" i="2" s="1"/>
  <c r="L24" i="12"/>
  <c r="L23" i="12"/>
  <c r="L22" i="12"/>
  <c r="L21" i="12"/>
  <c r="L20" i="12"/>
  <c r="L18" i="12"/>
  <c r="L17" i="12"/>
  <c r="L15" i="12"/>
  <c r="L14" i="12"/>
  <c r="L13" i="12"/>
  <c r="L12" i="12"/>
  <c r="L11" i="12"/>
  <c r="L9" i="12"/>
  <c r="L8" i="12"/>
  <c r="L7" i="12"/>
  <c r="L6" i="12"/>
  <c r="L5" i="12"/>
  <c r="F165" i="1"/>
  <c r="E165" i="1"/>
  <c r="D165" i="1"/>
  <c r="C165" i="1"/>
  <c r="F160" i="1"/>
  <c r="E160" i="1"/>
  <c r="D160" i="1"/>
  <c r="C160" i="1"/>
  <c r="F155" i="1"/>
  <c r="E155" i="1"/>
  <c r="D155" i="1"/>
  <c r="C155" i="1"/>
  <c r="F150" i="1"/>
  <c r="E150" i="1"/>
  <c r="D150" i="1"/>
  <c r="C150" i="1"/>
  <c r="F145" i="1"/>
  <c r="E145" i="1"/>
  <c r="D145" i="1"/>
  <c r="C145" i="1"/>
  <c r="F139" i="1"/>
  <c r="E139" i="1"/>
  <c r="D139" i="1"/>
  <c r="C139" i="1"/>
  <c r="F134" i="1"/>
  <c r="E134" i="1"/>
  <c r="D134" i="1"/>
  <c r="C134" i="1"/>
  <c r="F128" i="1"/>
  <c r="E128" i="1"/>
  <c r="D128" i="1"/>
  <c r="C128" i="1"/>
  <c r="F123" i="1"/>
  <c r="E123" i="1"/>
  <c r="D123" i="1"/>
  <c r="C123" i="1"/>
  <c r="F118" i="1"/>
  <c r="E118" i="1"/>
  <c r="D118" i="1"/>
  <c r="C118" i="1"/>
  <c r="F113" i="1"/>
  <c r="E113" i="1"/>
  <c r="D113" i="1"/>
  <c r="C113" i="1"/>
  <c r="F108" i="1"/>
  <c r="E108" i="1"/>
  <c r="D108" i="1"/>
  <c r="C108" i="1"/>
  <c r="F103" i="1"/>
  <c r="E103" i="1"/>
  <c r="D103" i="1"/>
  <c r="C103" i="1"/>
  <c r="F98" i="1"/>
  <c r="E98" i="1"/>
  <c r="D98" i="1"/>
  <c r="C98" i="1"/>
  <c r="F93" i="1"/>
  <c r="E93" i="1"/>
  <c r="D93" i="1"/>
  <c r="C93" i="1"/>
  <c r="F88" i="1"/>
  <c r="E88" i="1"/>
  <c r="D88" i="1"/>
  <c r="C88" i="1"/>
  <c r="F83" i="1"/>
  <c r="E83" i="1"/>
  <c r="D83" i="1"/>
  <c r="C83" i="1"/>
  <c r="F78" i="1"/>
  <c r="E78" i="1"/>
  <c r="D78" i="1"/>
  <c r="C78" i="1"/>
  <c r="K77" i="1"/>
  <c r="G65" i="1"/>
  <c r="G165" i="1" s="1"/>
  <c r="E65" i="1"/>
  <c r="C65" i="1"/>
  <c r="G63" i="1"/>
  <c r="G160" i="1" s="1"/>
  <c r="E63" i="1"/>
  <c r="C63" i="1"/>
  <c r="G61" i="1"/>
  <c r="G155" i="1" s="1"/>
  <c r="E61" i="1"/>
  <c r="C61" i="1"/>
  <c r="G59" i="1"/>
  <c r="G150" i="1" s="1"/>
  <c r="E59" i="1"/>
  <c r="C59" i="1"/>
  <c r="G57" i="1"/>
  <c r="G145" i="1" s="1"/>
  <c r="E57" i="1"/>
  <c r="C57" i="1"/>
  <c r="G54" i="1"/>
  <c r="G139" i="1" s="1"/>
  <c r="E54" i="1"/>
  <c r="C54" i="1"/>
  <c r="G52" i="1"/>
  <c r="G134" i="1" s="1"/>
  <c r="E52" i="1"/>
  <c r="C52" i="1"/>
  <c r="G49" i="1"/>
  <c r="G128" i="1" s="1"/>
  <c r="E49" i="1"/>
  <c r="C49" i="1"/>
  <c r="E47" i="1"/>
  <c r="C47" i="1"/>
  <c r="G45" i="1"/>
  <c r="G118" i="1" s="1"/>
  <c r="E45" i="1"/>
  <c r="C45" i="1"/>
  <c r="G43" i="1"/>
  <c r="G113" i="1" s="1"/>
  <c r="E43" i="1"/>
  <c r="C43" i="1"/>
  <c r="G41" i="1"/>
  <c r="G108" i="1" s="1"/>
  <c r="E41" i="1"/>
  <c r="C41" i="1"/>
  <c r="H39" i="1"/>
  <c r="E39" i="1"/>
  <c r="C39" i="1"/>
  <c r="G37" i="1"/>
  <c r="G98" i="1" s="1"/>
  <c r="E37" i="1"/>
  <c r="C37" i="1"/>
  <c r="G35" i="1"/>
  <c r="G93" i="1" s="1"/>
  <c r="E35" i="1"/>
  <c r="C35" i="1"/>
  <c r="G33" i="1"/>
  <c r="G88" i="1" s="1"/>
  <c r="E33" i="1"/>
  <c r="C33" i="1"/>
  <c r="G31" i="1"/>
  <c r="G83" i="1" s="1"/>
  <c r="E31" i="1"/>
  <c r="C31" i="1"/>
  <c r="G29" i="1"/>
  <c r="F29" i="1"/>
  <c r="E29" i="1"/>
  <c r="C29" i="1"/>
  <c r="I28" i="1"/>
  <c r="B11" i="1"/>
  <c r="B74" i="1" s="1"/>
  <c r="F65" i="9" l="1"/>
  <c r="G123" i="1"/>
  <c r="G33" i="3"/>
  <c r="L53" i="12"/>
  <c r="L83" i="12"/>
  <c r="L64" i="12"/>
  <c r="L118" i="12"/>
  <c r="L127" i="12"/>
  <c r="F65" i="8"/>
  <c r="L161" i="12"/>
  <c r="L148" i="12"/>
  <c r="F166" i="9"/>
  <c r="G76" i="9"/>
  <c r="G121" i="8"/>
  <c r="F166" i="8"/>
  <c r="G39" i="8"/>
  <c r="G101" i="8" s="1"/>
  <c r="G76" i="8"/>
  <c r="H65" i="8"/>
  <c r="F65" i="4"/>
  <c r="F166" i="4"/>
  <c r="F166" i="7"/>
  <c r="F65" i="7"/>
  <c r="G76" i="7"/>
  <c r="F67" i="6"/>
  <c r="F170" i="6"/>
  <c r="G78" i="6"/>
  <c r="L10" i="12"/>
  <c r="F68" i="5"/>
  <c r="F172" i="5"/>
  <c r="G79" i="5"/>
  <c r="F166" i="3"/>
  <c r="F65" i="3"/>
  <c r="G76" i="3"/>
  <c r="F68" i="2"/>
  <c r="F67" i="1"/>
  <c r="F172" i="2"/>
  <c r="L44" i="12"/>
  <c r="G79" i="2"/>
  <c r="G84" i="2"/>
  <c r="F170" i="1"/>
  <c r="H67" i="1"/>
  <c r="G78" i="1"/>
  <c r="A48" i="11"/>
  <c r="A47" i="11"/>
  <c r="A46" i="11"/>
  <c r="A45" i="11"/>
  <c r="A44" i="11"/>
  <c r="A43" i="11"/>
  <c r="A42" i="11"/>
  <c r="A41" i="11"/>
  <c r="A40" i="11"/>
  <c r="A39" i="11"/>
  <c r="A38" i="11"/>
  <c r="I648" i="14"/>
  <c r="G39" i="1" l="1"/>
  <c r="G103" i="1" s="1"/>
  <c r="G199" i="1" s="1"/>
  <c r="G166" i="8"/>
  <c r="G65" i="8"/>
  <c r="E161" i="12"/>
  <c r="E148" i="12"/>
  <c r="J141" i="12" s="1"/>
  <c r="E127" i="12"/>
  <c r="E118" i="12"/>
  <c r="J99" i="12" s="1"/>
  <c r="E83" i="12"/>
  <c r="J74" i="12" s="1"/>
  <c r="J62" i="12"/>
  <c r="J49" i="12"/>
  <c r="J27" i="12"/>
  <c r="J3" i="12"/>
  <c r="F160" i="12"/>
  <c r="M160" i="12" s="1"/>
  <c r="D160" i="12"/>
  <c r="K160" i="12" s="1"/>
  <c r="F164" i="12"/>
  <c r="M164" i="12" s="1"/>
  <c r="F163" i="12"/>
  <c r="M163" i="12" s="1"/>
  <c r="F162" i="12"/>
  <c r="M162" i="12" s="1"/>
  <c r="D164" i="12"/>
  <c r="K164" i="12" s="1"/>
  <c r="D163" i="12"/>
  <c r="K163" i="12" s="1"/>
  <c r="C36" i="9" s="1"/>
  <c r="D162" i="12"/>
  <c r="K162" i="12" s="1"/>
  <c r="F155" i="12"/>
  <c r="M155" i="12" s="1"/>
  <c r="F154" i="12"/>
  <c r="M154" i="12" s="1"/>
  <c r="F153" i="12"/>
  <c r="M153" i="12" s="1"/>
  <c r="F152" i="12"/>
  <c r="M152" i="12" s="1"/>
  <c r="F151" i="12"/>
  <c r="M151" i="12" s="1"/>
  <c r="F150" i="12"/>
  <c r="M150" i="12" s="1"/>
  <c r="F149" i="12"/>
  <c r="M149" i="12" s="1"/>
  <c r="F147" i="12"/>
  <c r="M147" i="12" s="1"/>
  <c r="F146" i="12"/>
  <c r="M146" i="12" s="1"/>
  <c r="F145" i="12"/>
  <c r="M145" i="12" s="1"/>
  <c r="F144" i="12"/>
  <c r="M144" i="12" s="1"/>
  <c r="D155" i="12"/>
  <c r="K155" i="12" s="1"/>
  <c r="D154" i="12"/>
  <c r="K154" i="12" s="1"/>
  <c r="N51" i="8" s="1"/>
  <c r="D153" i="12"/>
  <c r="K153" i="12" s="1"/>
  <c r="D152" i="12"/>
  <c r="K152" i="12" s="1"/>
  <c r="N47" i="8" s="1"/>
  <c r="D151" i="12"/>
  <c r="K151" i="12" s="1"/>
  <c r="N45" i="8" s="1"/>
  <c r="D150" i="12"/>
  <c r="K150" i="12" s="1"/>
  <c r="N43" i="8" s="1"/>
  <c r="D149" i="12"/>
  <c r="K149" i="12" s="1"/>
  <c r="D147" i="12"/>
  <c r="K147" i="12" s="1"/>
  <c r="N37" i="8" s="1"/>
  <c r="D146" i="12"/>
  <c r="K146" i="12" s="1"/>
  <c r="D145" i="12"/>
  <c r="K145" i="12" s="1"/>
  <c r="N33" i="8" s="1"/>
  <c r="D144" i="12"/>
  <c r="K144" i="12" s="1"/>
  <c r="F143" i="12"/>
  <c r="M143" i="12" s="1"/>
  <c r="D143" i="12"/>
  <c r="K143" i="12" s="1"/>
  <c r="N29" i="8" s="1"/>
  <c r="F138" i="12"/>
  <c r="M138" i="12" s="1"/>
  <c r="F137" i="12"/>
  <c r="M137" i="12" s="1"/>
  <c r="F136" i="12"/>
  <c r="M136" i="12" s="1"/>
  <c r="F135" i="12"/>
  <c r="M135" i="12" s="1"/>
  <c r="F134" i="12"/>
  <c r="M134" i="12" s="1"/>
  <c r="F133" i="12"/>
  <c r="M133" i="12" s="1"/>
  <c r="F132" i="12"/>
  <c r="M132" i="12" s="1"/>
  <c r="F131" i="12"/>
  <c r="M131" i="12" s="1"/>
  <c r="F130" i="12"/>
  <c r="M130" i="12" s="1"/>
  <c r="F129" i="12"/>
  <c r="M129" i="12" s="1"/>
  <c r="F128" i="12"/>
  <c r="M128" i="12" s="1"/>
  <c r="F126" i="12"/>
  <c r="M126" i="12" s="1"/>
  <c r="F125" i="12"/>
  <c r="M125" i="12" s="1"/>
  <c r="F124" i="12"/>
  <c r="M124" i="12" s="1"/>
  <c r="D138" i="12"/>
  <c r="K138" i="12" s="1"/>
  <c r="D137" i="12"/>
  <c r="K137" i="12" s="1"/>
  <c r="D136" i="12"/>
  <c r="K136" i="12" s="1"/>
  <c r="D135" i="12"/>
  <c r="K135" i="12" s="1"/>
  <c r="D134" i="12"/>
  <c r="K134" i="12" s="1"/>
  <c r="D133" i="12"/>
  <c r="K133" i="12" s="1"/>
  <c r="D132" i="12"/>
  <c r="K132" i="12" s="1"/>
  <c r="D131" i="12"/>
  <c r="K131" i="12" s="1"/>
  <c r="D130" i="12"/>
  <c r="K130" i="12" s="1"/>
  <c r="D129" i="12"/>
  <c r="K129" i="12" s="1"/>
  <c r="D128" i="12"/>
  <c r="K128" i="12" s="1"/>
  <c r="D126" i="12"/>
  <c r="K126" i="12" s="1"/>
  <c r="D125" i="12"/>
  <c r="K125" i="12" s="1"/>
  <c r="D124" i="12"/>
  <c r="K124" i="12" s="1"/>
  <c r="F123" i="12"/>
  <c r="M123" i="12" s="1"/>
  <c r="D123" i="12"/>
  <c r="K123" i="12" s="1"/>
  <c r="F117" i="12"/>
  <c r="M117" i="12" s="1"/>
  <c r="F115" i="12"/>
  <c r="M115" i="12" s="1"/>
  <c r="F114" i="12"/>
  <c r="M114" i="12" s="1"/>
  <c r="F113" i="12"/>
  <c r="M113" i="12" s="1"/>
  <c r="F112" i="12"/>
  <c r="M112" i="12" s="1"/>
  <c r="F111" i="12"/>
  <c r="M111" i="12" s="1"/>
  <c r="F110" i="12"/>
  <c r="M110" i="12" s="1"/>
  <c r="F109" i="12"/>
  <c r="M109" i="12" s="1"/>
  <c r="F108" i="12"/>
  <c r="M108" i="12" s="1"/>
  <c r="F107" i="12"/>
  <c r="M107" i="12" s="1"/>
  <c r="F106" i="12"/>
  <c r="M106" i="12" s="1"/>
  <c r="F104" i="12"/>
  <c r="M104" i="12" s="1"/>
  <c r="F103" i="12"/>
  <c r="M103" i="12" s="1"/>
  <c r="F102" i="12"/>
  <c r="M102" i="12" s="1"/>
  <c r="D117" i="12"/>
  <c r="K117" i="12" s="1"/>
  <c r="D115" i="12"/>
  <c r="K115" i="12" s="1"/>
  <c r="D114" i="12"/>
  <c r="K114" i="12" s="1"/>
  <c r="D113" i="12"/>
  <c r="K113" i="12" s="1"/>
  <c r="D112" i="12"/>
  <c r="K112" i="12" s="1"/>
  <c r="D111" i="12"/>
  <c r="K111" i="12" s="1"/>
  <c r="D110" i="12"/>
  <c r="K110" i="12" s="1"/>
  <c r="D109" i="12"/>
  <c r="K109" i="12" s="1"/>
  <c r="D108" i="12"/>
  <c r="K108" i="12" s="1"/>
  <c r="D107" i="12"/>
  <c r="K107" i="12" s="1"/>
  <c r="D106" i="12"/>
  <c r="K106" i="12" s="1"/>
  <c r="D104" i="12"/>
  <c r="K104" i="12" s="1"/>
  <c r="D103" i="12"/>
  <c r="K103" i="12" s="1"/>
  <c r="D102" i="12"/>
  <c r="K102" i="12" s="1"/>
  <c r="F101" i="12"/>
  <c r="M101" i="12" s="1"/>
  <c r="D101" i="12"/>
  <c r="K101" i="12" s="1"/>
  <c r="F96" i="12"/>
  <c r="M96" i="12" s="1"/>
  <c r="F95" i="12"/>
  <c r="M95" i="12" s="1"/>
  <c r="F94" i="12"/>
  <c r="M94" i="12" s="1"/>
  <c r="F92" i="12"/>
  <c r="M92" i="12" s="1"/>
  <c r="F91" i="12"/>
  <c r="M91" i="12" s="1"/>
  <c r="F90" i="12"/>
  <c r="M90" i="12" s="1"/>
  <c r="F88" i="12"/>
  <c r="M88" i="12" s="1"/>
  <c r="F87" i="12"/>
  <c r="M87" i="12" s="1"/>
  <c r="F86" i="12"/>
  <c r="M86" i="12" s="1"/>
  <c r="F85" i="12"/>
  <c r="M85" i="12" s="1"/>
  <c r="F84" i="12"/>
  <c r="M84" i="12" s="1"/>
  <c r="F82" i="12"/>
  <c r="M82" i="12" s="1"/>
  <c r="F80" i="12"/>
  <c r="M80" i="12" s="1"/>
  <c r="F79" i="12"/>
  <c r="M79" i="12" s="1"/>
  <c r="F78" i="12"/>
  <c r="M78" i="12" s="1"/>
  <c r="F77" i="12"/>
  <c r="M77" i="12" s="1"/>
  <c r="D96" i="12"/>
  <c r="K96" i="12" s="1"/>
  <c r="D95" i="12"/>
  <c r="K95" i="12" s="1"/>
  <c r="D94" i="12"/>
  <c r="K94" i="12" s="1"/>
  <c r="D92" i="12"/>
  <c r="K92" i="12" s="1"/>
  <c r="D91" i="12"/>
  <c r="K91" i="12" s="1"/>
  <c r="D90" i="12"/>
  <c r="K90" i="12" s="1"/>
  <c r="D88" i="12"/>
  <c r="K88" i="12" s="1"/>
  <c r="D87" i="12"/>
  <c r="K87" i="12" s="1"/>
  <c r="D86" i="12"/>
  <c r="K86" i="12" s="1"/>
  <c r="D85" i="12"/>
  <c r="K85" i="12" s="1"/>
  <c r="D84" i="12"/>
  <c r="K84" i="12" s="1"/>
  <c r="D82" i="12"/>
  <c r="K82" i="12" s="1"/>
  <c r="D80" i="12"/>
  <c r="K80" i="12" s="1"/>
  <c r="D79" i="12"/>
  <c r="K79" i="12" s="1"/>
  <c r="D78" i="12"/>
  <c r="K78" i="12" s="1"/>
  <c r="D77" i="12"/>
  <c r="K77" i="12" s="1"/>
  <c r="F76" i="12"/>
  <c r="M76" i="12" s="1"/>
  <c r="D76" i="12"/>
  <c r="K76" i="12" s="1"/>
  <c r="F71" i="12"/>
  <c r="M71" i="12" s="1"/>
  <c r="F70" i="12"/>
  <c r="M70" i="12" s="1"/>
  <c r="F69" i="12"/>
  <c r="M69" i="12" s="1"/>
  <c r="F68" i="12"/>
  <c r="M68" i="12" s="1"/>
  <c r="F67" i="12"/>
  <c r="M67" i="12" s="1"/>
  <c r="F66" i="12"/>
  <c r="M66" i="12" s="1"/>
  <c r="F65" i="12"/>
  <c r="M65" i="12" s="1"/>
  <c r="D71" i="12"/>
  <c r="K71" i="12" s="1"/>
  <c r="D70" i="12"/>
  <c r="K70" i="12" s="1"/>
  <c r="D69" i="12"/>
  <c r="K69" i="12" s="1"/>
  <c r="D68" i="12"/>
  <c r="K68" i="12" s="1"/>
  <c r="D67" i="12"/>
  <c r="K67" i="12" s="1"/>
  <c r="D66" i="12"/>
  <c r="K66" i="12" s="1"/>
  <c r="D65" i="12"/>
  <c r="K65" i="12" s="1"/>
  <c r="F59" i="12"/>
  <c r="M59" i="12" s="1"/>
  <c r="F58" i="12"/>
  <c r="M58" i="12" s="1"/>
  <c r="F57" i="12"/>
  <c r="M57" i="12" s="1"/>
  <c r="F56" i="12"/>
  <c r="M56" i="12" s="1"/>
  <c r="F55" i="12"/>
  <c r="M55" i="12" s="1"/>
  <c r="F54" i="12"/>
  <c r="M54" i="12" s="1"/>
  <c r="F52" i="12"/>
  <c r="M52" i="12" s="1"/>
  <c r="D59" i="12"/>
  <c r="K59" i="12" s="1"/>
  <c r="D58" i="12"/>
  <c r="K58" i="12" s="1"/>
  <c r="D57" i="12"/>
  <c r="K57" i="12" s="1"/>
  <c r="D56" i="12"/>
  <c r="K56" i="12" s="1"/>
  <c r="D55" i="12"/>
  <c r="K55" i="12" s="1"/>
  <c r="N37" i="3" s="1"/>
  <c r="D54" i="12"/>
  <c r="K54" i="12" s="1"/>
  <c r="D52" i="12"/>
  <c r="K52" i="12" s="1"/>
  <c r="F51" i="12"/>
  <c r="M51" i="12" s="1"/>
  <c r="D51" i="12"/>
  <c r="K51" i="12" s="1"/>
  <c r="F46" i="12"/>
  <c r="M46" i="12" s="1"/>
  <c r="F45" i="12"/>
  <c r="M45" i="12" s="1"/>
  <c r="F43" i="12"/>
  <c r="M43" i="12" s="1"/>
  <c r="F41" i="12"/>
  <c r="M41" i="12" s="1"/>
  <c r="F40" i="12"/>
  <c r="M40" i="12" s="1"/>
  <c r="F39" i="12"/>
  <c r="M39" i="12" s="1"/>
  <c r="F37" i="12"/>
  <c r="M37" i="12" s="1"/>
  <c r="F36" i="12"/>
  <c r="M36" i="12" s="1"/>
  <c r="F34" i="12"/>
  <c r="M34" i="12" s="1"/>
  <c r="F33" i="12"/>
  <c r="M33" i="12" s="1"/>
  <c r="F32" i="12"/>
  <c r="M32" i="12" s="1"/>
  <c r="F31" i="12"/>
  <c r="M31" i="12" s="1"/>
  <c r="F30" i="12"/>
  <c r="M30" i="12" s="1"/>
  <c r="D46" i="12"/>
  <c r="K46" i="12" s="1"/>
  <c r="D45" i="12"/>
  <c r="K45" i="12" s="1"/>
  <c r="D43" i="12"/>
  <c r="K43" i="12" s="1"/>
  <c r="D41" i="12"/>
  <c r="K41" i="12" s="1"/>
  <c r="D40" i="12"/>
  <c r="K40" i="12" s="1"/>
  <c r="D39" i="12"/>
  <c r="K39" i="12" s="1"/>
  <c r="D37" i="12"/>
  <c r="K37" i="12" s="1"/>
  <c r="D36" i="12"/>
  <c r="K36" i="12" s="1"/>
  <c r="D34" i="12"/>
  <c r="K34" i="12" s="1"/>
  <c r="D33" i="12"/>
  <c r="K33" i="12" s="1"/>
  <c r="D32" i="12"/>
  <c r="K32" i="12" s="1"/>
  <c r="D31" i="12"/>
  <c r="K31" i="12" s="1"/>
  <c r="D30" i="12"/>
  <c r="K30" i="12" s="1"/>
  <c r="F29" i="12"/>
  <c r="M29" i="12" s="1"/>
  <c r="D29" i="12"/>
  <c r="K29" i="12" s="1"/>
  <c r="F24" i="12"/>
  <c r="M24" i="12" s="1"/>
  <c r="F23" i="12"/>
  <c r="M23" i="12" s="1"/>
  <c r="F22" i="12"/>
  <c r="M22" i="12" s="1"/>
  <c r="F21" i="12"/>
  <c r="M21" i="12" s="1"/>
  <c r="F20" i="12"/>
  <c r="M20" i="12" s="1"/>
  <c r="F18" i="12"/>
  <c r="M18" i="12" s="1"/>
  <c r="F17" i="12"/>
  <c r="M17" i="12" s="1"/>
  <c r="F15" i="12"/>
  <c r="M15" i="12" s="1"/>
  <c r="F14" i="12"/>
  <c r="M14" i="12" s="1"/>
  <c r="F13" i="12"/>
  <c r="M13" i="12" s="1"/>
  <c r="F12" i="12"/>
  <c r="M12" i="12" s="1"/>
  <c r="F11" i="12"/>
  <c r="M11" i="12" s="1"/>
  <c r="F9" i="12"/>
  <c r="M9" i="12" s="1"/>
  <c r="F8" i="12"/>
  <c r="M8" i="12" s="1"/>
  <c r="F7" i="12"/>
  <c r="M7" i="12" s="1"/>
  <c r="F6" i="12"/>
  <c r="M6" i="12" s="1"/>
  <c r="D24" i="12"/>
  <c r="K24" i="12" s="1"/>
  <c r="D23" i="12"/>
  <c r="K23" i="12" s="1"/>
  <c r="D22" i="12"/>
  <c r="K22" i="12" s="1"/>
  <c r="D21" i="12"/>
  <c r="K21" i="12" s="1"/>
  <c r="D20" i="12"/>
  <c r="K20" i="12" s="1"/>
  <c r="D18" i="12"/>
  <c r="K18" i="12" s="1"/>
  <c r="N54" i="1" s="1"/>
  <c r="D17" i="12"/>
  <c r="K17" i="12" s="1"/>
  <c r="D15" i="12"/>
  <c r="K15" i="12" s="1"/>
  <c r="N49" i="1" s="1"/>
  <c r="D14" i="12"/>
  <c r="K14" i="12" s="1"/>
  <c r="D13" i="12"/>
  <c r="K13" i="12" s="1"/>
  <c r="D12" i="12"/>
  <c r="K12" i="12" s="1"/>
  <c r="D11" i="12"/>
  <c r="K11" i="12" s="1"/>
  <c r="D9" i="12"/>
  <c r="K9" i="12" s="1"/>
  <c r="N37" i="1" s="1"/>
  <c r="D8" i="12"/>
  <c r="K8" i="12" s="1"/>
  <c r="D7" i="12"/>
  <c r="K7" i="12" s="1"/>
  <c r="N33" i="1" s="1"/>
  <c r="D6" i="12"/>
  <c r="K6" i="12" s="1"/>
  <c r="F5" i="12"/>
  <c r="M5" i="12" s="1"/>
  <c r="D5" i="12"/>
  <c r="K5" i="12" s="1"/>
  <c r="N35" i="8" l="1"/>
  <c r="M35" i="8" s="1"/>
  <c r="N53" i="8"/>
  <c r="M53" i="8" s="1"/>
  <c r="N35" i="3"/>
  <c r="M35" i="3" s="1"/>
  <c r="N29" i="3"/>
  <c r="N45" i="3"/>
  <c r="M45" i="3" s="1"/>
  <c r="N39" i="3"/>
  <c r="M39" i="3" s="1"/>
  <c r="N41" i="1"/>
  <c r="M41" i="1" s="1"/>
  <c r="K108" i="1" s="1"/>
  <c r="N59" i="1"/>
  <c r="M59" i="1" s="1"/>
  <c r="K150" i="1" s="1"/>
  <c r="N29" i="1"/>
  <c r="M29" i="1" s="1"/>
  <c r="N45" i="1"/>
  <c r="M45" i="1" s="1"/>
  <c r="K118" i="1" s="1"/>
  <c r="N63" i="1"/>
  <c r="M63" i="1" s="1"/>
  <c r="K160" i="1" s="1"/>
  <c r="N31" i="3"/>
  <c r="M31" i="3" s="1"/>
  <c r="C36" i="7"/>
  <c r="C54" i="7"/>
  <c r="N41" i="8"/>
  <c r="M41" i="8" s="1"/>
  <c r="N47" i="1"/>
  <c r="M47" i="1" s="1"/>
  <c r="K123" i="1" s="1"/>
  <c r="N65" i="1"/>
  <c r="M65" i="1" s="1"/>
  <c r="K165" i="1" s="1"/>
  <c r="N43" i="1"/>
  <c r="M43" i="1" s="1"/>
  <c r="K113" i="1" s="1"/>
  <c r="N61" i="1"/>
  <c r="M61" i="1" s="1"/>
  <c r="K155" i="1" s="1"/>
  <c r="N52" i="1"/>
  <c r="M52" i="1" s="1"/>
  <c r="K134" i="1" s="1"/>
  <c r="N31" i="1"/>
  <c r="M31" i="1" s="1"/>
  <c r="K83" i="1" s="1"/>
  <c r="N35" i="1"/>
  <c r="M35" i="1" s="1"/>
  <c r="K93" i="1" s="1"/>
  <c r="N41" i="3"/>
  <c r="M41" i="3" s="1"/>
  <c r="N31" i="8"/>
  <c r="M31" i="8" s="1"/>
  <c r="N49" i="8"/>
  <c r="M49" i="8" s="1"/>
  <c r="N57" i="1"/>
  <c r="M57" i="1" s="1"/>
  <c r="K145" i="1" s="1"/>
  <c r="N43" i="3"/>
  <c r="M43" i="3" s="1"/>
  <c r="G170" i="1"/>
  <c r="G67" i="1"/>
  <c r="M161" i="12"/>
  <c r="C38" i="9"/>
  <c r="M43" i="8"/>
  <c r="C34" i="7"/>
  <c r="C52" i="7"/>
  <c r="C56" i="7"/>
  <c r="C34" i="6"/>
  <c r="M33" i="1"/>
  <c r="C44" i="7"/>
  <c r="C57" i="6"/>
  <c r="C46" i="7"/>
  <c r="C44" i="8"/>
  <c r="C41" i="6"/>
  <c r="C32" i="6"/>
  <c r="C40" i="7"/>
  <c r="M49" i="1"/>
  <c r="M37" i="3"/>
  <c r="C36" i="6"/>
  <c r="C53" i="6"/>
  <c r="C42" i="7"/>
  <c r="C58" i="7"/>
  <c r="M29" i="8"/>
  <c r="C30" i="8"/>
  <c r="K148" i="12"/>
  <c r="M45" i="8"/>
  <c r="C46" i="8"/>
  <c r="C34" i="9"/>
  <c r="C39" i="6"/>
  <c r="C55" i="6"/>
  <c r="C60" i="7"/>
  <c r="M148" i="12"/>
  <c r="M47" i="8"/>
  <c r="C48" i="8"/>
  <c r="C55" i="1"/>
  <c r="M54" i="1"/>
  <c r="K83" i="12"/>
  <c r="C32" i="8"/>
  <c r="C50" i="8"/>
  <c r="C38" i="1"/>
  <c r="M37" i="1"/>
  <c r="M64" i="12"/>
  <c r="M83" i="12"/>
  <c r="C43" i="6"/>
  <c r="C60" i="6"/>
  <c r="M127" i="12"/>
  <c r="C48" i="7"/>
  <c r="C34" i="8"/>
  <c r="M33" i="8"/>
  <c r="M51" i="8"/>
  <c r="C52" i="8"/>
  <c r="C49" i="6"/>
  <c r="K127" i="12"/>
  <c r="C30" i="7"/>
  <c r="K53" i="12"/>
  <c r="M29" i="3"/>
  <c r="K64" i="12"/>
  <c r="K118" i="12"/>
  <c r="C30" i="6"/>
  <c r="C45" i="6"/>
  <c r="C32" i="7"/>
  <c r="C50" i="7"/>
  <c r="C36" i="8"/>
  <c r="C54" i="8"/>
  <c r="C42" i="8"/>
  <c r="K161" i="12"/>
  <c r="C32" i="9" s="1"/>
  <c r="C30" i="9"/>
  <c r="M53" i="12"/>
  <c r="M118" i="12"/>
  <c r="C47" i="6"/>
  <c r="C51" i="6"/>
  <c r="C38" i="8"/>
  <c r="M37" i="8"/>
  <c r="M44" i="12"/>
  <c r="C32" i="2"/>
  <c r="C50" i="2"/>
  <c r="C42" i="1"/>
  <c r="C60" i="1"/>
  <c r="C36" i="2"/>
  <c r="C55" i="2"/>
  <c r="C43" i="2"/>
  <c r="C30" i="3"/>
  <c r="C58" i="1"/>
  <c r="C52" i="2"/>
  <c r="C59" i="2"/>
  <c r="C48" i="2"/>
  <c r="C36" i="1"/>
  <c r="C42" i="3"/>
  <c r="C34" i="2"/>
  <c r="C67" i="5"/>
  <c r="C44" i="1"/>
  <c r="C62" i="1"/>
  <c r="C38" i="2"/>
  <c r="C34" i="4"/>
  <c r="C30" i="1"/>
  <c r="K10" i="12"/>
  <c r="C46" i="1"/>
  <c r="C64" i="1"/>
  <c r="C40" i="2"/>
  <c r="C61" i="2"/>
  <c r="C34" i="1"/>
  <c r="M10" i="12"/>
  <c r="C48" i="1"/>
  <c r="C66" i="1"/>
  <c r="C36" i="3"/>
  <c r="C32" i="1"/>
  <c r="C50" i="1"/>
  <c r="C30" i="2"/>
  <c r="K44" i="12"/>
  <c r="C45" i="2"/>
  <c r="C53" i="1"/>
  <c r="O144" i="12"/>
  <c r="L97" i="12"/>
  <c r="L60" i="12"/>
  <c r="L139" i="12"/>
  <c r="L72" i="12"/>
  <c r="D53" i="12"/>
  <c r="D60" i="12" s="1"/>
  <c r="F10" i="12"/>
  <c r="F53" i="12"/>
  <c r="F60" i="12" s="1"/>
  <c r="F64" i="12"/>
  <c r="D83" i="12"/>
  <c r="D97" i="12" s="1"/>
  <c r="L119" i="12"/>
  <c r="D127" i="12"/>
  <c r="D139" i="12" s="1"/>
  <c r="L156" i="12"/>
  <c r="F161" i="12"/>
  <c r="D161" i="12"/>
  <c r="D165" i="12" s="1"/>
  <c r="O66" i="12"/>
  <c r="F83" i="12"/>
  <c r="F127" i="12"/>
  <c r="F139" i="12" s="1"/>
  <c r="D64" i="12"/>
  <c r="L47" i="12"/>
  <c r="L165" i="12"/>
  <c r="D44" i="12"/>
  <c r="D118" i="12"/>
  <c r="D148" i="12"/>
  <c r="O143" i="12"/>
  <c r="O117" i="12"/>
  <c r="F44" i="12"/>
  <c r="F118" i="12"/>
  <c r="F148" i="12"/>
  <c r="F156" i="12" s="1"/>
  <c r="D10" i="12"/>
  <c r="J158" i="12"/>
  <c r="J121" i="12"/>
  <c r="O104" i="12"/>
  <c r="O163" i="12"/>
  <c r="O70" i="12"/>
  <c r="O45" i="12"/>
  <c r="O109" i="12"/>
  <c r="O125" i="12"/>
  <c r="O137" i="12"/>
  <c r="O152" i="12"/>
  <c r="O52" i="12"/>
  <c r="O103" i="12"/>
  <c r="O129" i="12"/>
  <c r="O113" i="12"/>
  <c r="O30" i="12"/>
  <c r="O96" i="12"/>
  <c r="C32" i="4"/>
  <c r="O41" i="12"/>
  <c r="O39" i="12"/>
  <c r="O128" i="12"/>
  <c r="O147" i="12"/>
  <c r="O46" i="12"/>
  <c r="O138" i="12"/>
  <c r="O36" i="12"/>
  <c r="O124" i="12"/>
  <c r="O151" i="12"/>
  <c r="O132" i="12"/>
  <c r="O111" i="12"/>
  <c r="O43" i="12"/>
  <c r="O149" i="12"/>
  <c r="O164" i="12"/>
  <c r="O155" i="12"/>
  <c r="O145" i="12"/>
  <c r="O153" i="12"/>
  <c r="O112" i="12"/>
  <c r="O54" i="12"/>
  <c r="O57" i="12"/>
  <c r="O51" i="12"/>
  <c r="O29" i="12"/>
  <c r="O126" i="12"/>
  <c r="O134" i="12"/>
  <c r="O131" i="12"/>
  <c r="O133" i="12"/>
  <c r="N33" i="3" l="1"/>
  <c r="M33" i="3" s="1"/>
  <c r="C14" i="3" s="1"/>
  <c r="N39" i="8"/>
  <c r="M39" i="8" s="1"/>
  <c r="C14" i="8" s="1"/>
  <c r="C40" i="8"/>
  <c r="C38" i="7"/>
  <c r="C43" i="5"/>
  <c r="N39" i="1"/>
  <c r="O148" i="12"/>
  <c r="C62" i="6"/>
  <c r="K136" i="8"/>
  <c r="K131" i="8"/>
  <c r="K81" i="8"/>
  <c r="K91" i="8"/>
  <c r="K86" i="8"/>
  <c r="K96" i="8"/>
  <c r="K116" i="8"/>
  <c r="K111" i="8"/>
  <c r="K106" i="8"/>
  <c r="K121" i="8"/>
  <c r="K126" i="8"/>
  <c r="K139" i="1"/>
  <c r="J140" i="1" s="1"/>
  <c r="K128" i="1"/>
  <c r="K98" i="1"/>
  <c r="J101" i="1" s="1"/>
  <c r="K88" i="1"/>
  <c r="J89" i="1" s="1"/>
  <c r="O161" i="12"/>
  <c r="C57" i="2"/>
  <c r="K76" i="8"/>
  <c r="J25" i="8"/>
  <c r="O71" i="12"/>
  <c r="O95" i="12"/>
  <c r="C40" i="1"/>
  <c r="C30" i="5"/>
  <c r="J85" i="1"/>
  <c r="J83" i="1"/>
  <c r="J84" i="1"/>
  <c r="J86" i="1"/>
  <c r="J161" i="1"/>
  <c r="J160" i="1"/>
  <c r="J163" i="1"/>
  <c r="J162" i="1"/>
  <c r="J145" i="1"/>
  <c r="J147" i="1"/>
  <c r="J148" i="1"/>
  <c r="J146" i="1"/>
  <c r="C46" i="3"/>
  <c r="C60" i="5"/>
  <c r="C36" i="4"/>
  <c r="C45" i="5"/>
  <c r="C34" i="5"/>
  <c r="C38" i="3"/>
  <c r="C49" i="5"/>
  <c r="J114" i="1"/>
  <c r="J113" i="1"/>
  <c r="J115" i="1"/>
  <c r="J116" i="1"/>
  <c r="C40" i="3"/>
  <c r="C38" i="5"/>
  <c r="O130" i="12"/>
  <c r="C53" i="5"/>
  <c r="C47" i="5"/>
  <c r="C44" i="4"/>
  <c r="C40" i="4"/>
  <c r="C56" i="5"/>
  <c r="C58" i="5"/>
  <c r="J93" i="1"/>
  <c r="J95" i="1"/>
  <c r="J94" i="1"/>
  <c r="J96" i="1"/>
  <c r="C32" i="5"/>
  <c r="C44" i="3"/>
  <c r="J166" i="1"/>
  <c r="J165" i="1"/>
  <c r="J167" i="1"/>
  <c r="J168" i="1"/>
  <c r="C32" i="3"/>
  <c r="J119" i="1"/>
  <c r="J118" i="1"/>
  <c r="J121" i="1"/>
  <c r="J120" i="1"/>
  <c r="J151" i="1"/>
  <c r="J152" i="1"/>
  <c r="J153" i="1"/>
  <c r="J150" i="1"/>
  <c r="J158" i="1"/>
  <c r="J157" i="1"/>
  <c r="J155" i="1"/>
  <c r="J156" i="1"/>
  <c r="C63" i="5"/>
  <c r="C42" i="4"/>
  <c r="J126" i="1"/>
  <c r="J125" i="1"/>
  <c r="J123" i="1"/>
  <c r="J124" i="1"/>
  <c r="J135" i="1"/>
  <c r="J137" i="1"/>
  <c r="J134" i="1"/>
  <c r="J136" i="1"/>
  <c r="O79" i="12"/>
  <c r="C36" i="5"/>
  <c r="C65" i="5"/>
  <c r="C41" i="5"/>
  <c r="C38" i="4"/>
  <c r="C51" i="5"/>
  <c r="K78" i="1"/>
  <c r="J25" i="1"/>
  <c r="J111" i="1"/>
  <c r="J108" i="1"/>
  <c r="J110" i="1"/>
  <c r="J109" i="1"/>
  <c r="O84" i="12"/>
  <c r="O92" i="12"/>
  <c r="O82" i="12"/>
  <c r="O91" i="12"/>
  <c r="O86" i="12"/>
  <c r="O87" i="12"/>
  <c r="O160" i="12"/>
  <c r="O55" i="12"/>
  <c r="O106" i="12"/>
  <c r="O68" i="12"/>
  <c r="O32" i="12"/>
  <c r="O90" i="12"/>
  <c r="O40" i="12"/>
  <c r="O108" i="12"/>
  <c r="F165" i="12"/>
  <c r="O77" i="12"/>
  <c r="D156" i="12"/>
  <c r="O78" i="12"/>
  <c r="O115" i="12"/>
  <c r="O136" i="12"/>
  <c r="M47" i="12"/>
  <c r="D119" i="12"/>
  <c r="K47" i="12"/>
  <c r="F119" i="12"/>
  <c r="O102" i="12"/>
  <c r="O80" i="12"/>
  <c r="K119" i="12"/>
  <c r="F47" i="12"/>
  <c r="F25" i="12"/>
  <c r="K165" i="12"/>
  <c r="O94" i="12"/>
  <c r="F97" i="12"/>
  <c r="D25" i="12"/>
  <c r="O118" i="12"/>
  <c r="O150" i="12"/>
  <c r="K97" i="12"/>
  <c r="D47" i="12"/>
  <c r="M60" i="12"/>
  <c r="O123" i="12"/>
  <c r="K139" i="12"/>
  <c r="K156" i="12"/>
  <c r="F72" i="12"/>
  <c r="O56" i="12"/>
  <c r="O107" i="12"/>
  <c r="O65" i="12"/>
  <c r="O85" i="12"/>
  <c r="M165" i="12"/>
  <c r="O37" i="12"/>
  <c r="O154" i="12"/>
  <c r="O76" i="12"/>
  <c r="O135" i="12"/>
  <c r="O58" i="12"/>
  <c r="O114" i="12"/>
  <c r="O67" i="12"/>
  <c r="O31" i="12"/>
  <c r="O34" i="12"/>
  <c r="O146" i="12"/>
  <c r="O69" i="12"/>
  <c r="O33" i="12"/>
  <c r="O110" i="12"/>
  <c r="O101" i="12"/>
  <c r="O88" i="12"/>
  <c r="O162" i="12"/>
  <c r="O59" i="12"/>
  <c r="C15" i="3" l="1"/>
  <c r="C15" i="8"/>
  <c r="C16" i="8"/>
  <c r="C16" i="3"/>
  <c r="C17" i="8"/>
  <c r="C17" i="3"/>
  <c r="C13" i="8"/>
  <c r="C13" i="3"/>
  <c r="M39" i="1"/>
  <c r="J129" i="1"/>
  <c r="J131" i="1"/>
  <c r="J128" i="1"/>
  <c r="J100" i="1"/>
  <c r="J111" i="8"/>
  <c r="J112" i="8"/>
  <c r="J113" i="8"/>
  <c r="J114" i="8"/>
  <c r="J119" i="8"/>
  <c r="J116" i="8"/>
  <c r="J118" i="8"/>
  <c r="J117" i="8"/>
  <c r="J96" i="8"/>
  <c r="J98" i="8"/>
  <c r="J99" i="8"/>
  <c r="J97" i="8"/>
  <c r="J88" i="8"/>
  <c r="J86" i="8"/>
  <c r="J87" i="8"/>
  <c r="J89" i="8"/>
  <c r="J93" i="8"/>
  <c r="J91" i="8"/>
  <c r="J92" i="8"/>
  <c r="J94" i="8"/>
  <c r="J128" i="8"/>
  <c r="J129" i="8"/>
  <c r="J127" i="8"/>
  <c r="J126" i="8"/>
  <c r="J83" i="8"/>
  <c r="J81" i="8"/>
  <c r="J84" i="8"/>
  <c r="J82" i="8"/>
  <c r="J132" i="8"/>
  <c r="J131" i="8"/>
  <c r="J134" i="8"/>
  <c r="J133" i="8"/>
  <c r="J121" i="8"/>
  <c r="J123" i="8"/>
  <c r="J122" i="8"/>
  <c r="J124" i="8"/>
  <c r="J106" i="8"/>
  <c r="J107" i="8"/>
  <c r="J109" i="8"/>
  <c r="J108" i="8"/>
  <c r="J137" i="8"/>
  <c r="J139" i="8"/>
  <c r="J138" i="8"/>
  <c r="J136" i="8"/>
  <c r="J130" i="1"/>
  <c r="J142" i="1"/>
  <c r="J141" i="1"/>
  <c r="J139" i="1"/>
  <c r="J90" i="1"/>
  <c r="J91" i="1"/>
  <c r="J99" i="1"/>
  <c r="J88" i="1"/>
  <c r="J98" i="1"/>
  <c r="K101" i="8"/>
  <c r="K166" i="8" s="1"/>
  <c r="J77" i="8"/>
  <c r="J76" i="8"/>
  <c r="J79" i="8"/>
  <c r="J78" i="8"/>
  <c r="J164" i="1"/>
  <c r="J97" i="1"/>
  <c r="J149" i="1"/>
  <c r="J87" i="1"/>
  <c r="J138" i="1"/>
  <c r="J127" i="1"/>
  <c r="J159" i="1"/>
  <c r="J169" i="1"/>
  <c r="C30" i="4"/>
  <c r="J122" i="1"/>
  <c r="J117" i="1"/>
  <c r="O64" i="12"/>
  <c r="K60" i="12"/>
  <c r="C34" i="3"/>
  <c r="M97" i="12"/>
  <c r="J154" i="1"/>
  <c r="J112" i="1"/>
  <c r="J80" i="1"/>
  <c r="J78" i="1"/>
  <c r="J81" i="1"/>
  <c r="J79" i="1"/>
  <c r="O127" i="12"/>
  <c r="O53" i="12"/>
  <c r="O44" i="12"/>
  <c r="O83" i="12"/>
  <c r="M119" i="12"/>
  <c r="L25" i="12"/>
  <c r="L167" i="12" s="1"/>
  <c r="M139" i="12"/>
  <c r="M156" i="12"/>
  <c r="E17" i="10"/>
  <c r="I14" i="10"/>
  <c r="I13" i="10"/>
  <c r="I12" i="10"/>
  <c r="I11" i="10"/>
  <c r="I10" i="10"/>
  <c r="I9" i="10"/>
  <c r="I8" i="10"/>
  <c r="K103" i="1" l="1"/>
  <c r="K170" i="1" s="1"/>
  <c r="C17" i="1"/>
  <c r="C14" i="1"/>
  <c r="C15" i="1"/>
  <c r="C13" i="1"/>
  <c r="C16" i="1"/>
  <c r="J110" i="8"/>
  <c r="J143" i="1"/>
  <c r="J92" i="1"/>
  <c r="J125" i="8"/>
  <c r="J85" i="8"/>
  <c r="J135" i="8"/>
  <c r="J130" i="8"/>
  <c r="J90" i="8"/>
  <c r="J132" i="1"/>
  <c r="J120" i="8"/>
  <c r="J140" i="8"/>
  <c r="J100" i="8"/>
  <c r="J115" i="8"/>
  <c r="J95" i="8"/>
  <c r="J102" i="1"/>
  <c r="J80" i="8"/>
  <c r="J104" i="8"/>
  <c r="G16" i="8" s="1"/>
  <c r="J101" i="8"/>
  <c r="G13" i="8" s="1"/>
  <c r="J102" i="8"/>
  <c r="G14" i="8" s="1"/>
  <c r="J103" i="8"/>
  <c r="J171" i="8" s="1"/>
  <c r="J82" i="1"/>
  <c r="J104" i="1" l="1"/>
  <c r="J174" i="1" s="1"/>
  <c r="J103" i="1"/>
  <c r="J173" i="1" s="1"/>
  <c r="J105" i="1"/>
  <c r="J175" i="1" s="1"/>
  <c r="J106" i="1"/>
  <c r="J176" i="1" s="1"/>
  <c r="K199" i="1"/>
  <c r="G17" i="8"/>
  <c r="G15" i="8"/>
  <c r="J172" i="8"/>
  <c r="J169" i="8"/>
  <c r="J170" i="8"/>
  <c r="J105" i="8"/>
  <c r="G16" i="1" l="1"/>
  <c r="G15" i="1"/>
  <c r="G13" i="1"/>
  <c r="G14" i="1"/>
  <c r="J199" i="1"/>
  <c r="J107" i="1"/>
  <c r="J177" i="1" s="1"/>
  <c r="J178" i="1" s="1"/>
  <c r="J173" i="8"/>
  <c r="J174" i="8" s="1"/>
  <c r="H46" i="11"/>
  <c r="J166" i="8"/>
  <c r="G17" i="1" l="1"/>
  <c r="N18" i="1" s="1"/>
  <c r="J170" i="1"/>
  <c r="N18" i="8"/>
  <c r="E165" i="12"/>
  <c r="E156" i="12"/>
  <c r="E139" i="12"/>
  <c r="E119" i="12"/>
  <c r="E97" i="12"/>
  <c r="E72" i="12"/>
  <c r="E60" i="12"/>
  <c r="E47" i="12"/>
  <c r="E25" i="12"/>
  <c r="H39" i="11" l="1"/>
  <c r="O20" i="12"/>
  <c r="D72" i="12"/>
  <c r="O21" i="12"/>
  <c r="O12" i="12"/>
  <c r="O22" i="12"/>
  <c r="O11" i="12"/>
  <c r="O5" i="12"/>
  <c r="O6" i="12"/>
  <c r="O14" i="12"/>
  <c r="O24" i="12"/>
  <c r="O13" i="12"/>
  <c r="O23" i="12"/>
  <c r="O15" i="12"/>
  <c r="O8" i="12"/>
  <c r="O17" i="12"/>
  <c r="O7" i="12"/>
  <c r="O9" i="12"/>
  <c r="O18" i="12"/>
  <c r="M72" i="12"/>
  <c r="K72" i="12"/>
  <c r="I15" i="10"/>
  <c r="I7" i="10"/>
  <c r="K25" i="12" l="1"/>
  <c r="K167" i="12" s="1"/>
  <c r="G17" i="10"/>
  <c r="I17" i="10" s="1"/>
  <c r="M25" i="12" l="1"/>
  <c r="M167" i="12" s="1"/>
  <c r="O10" i="12"/>
  <c r="G104" i="2" l="1"/>
  <c r="G126" i="2" l="1"/>
  <c r="G33" i="2" l="1"/>
  <c r="G89" i="2" s="1"/>
  <c r="H56" i="2"/>
  <c r="N58" i="2" l="1"/>
  <c r="M58" i="2" s="1"/>
  <c r="N54" i="2"/>
  <c r="M54" i="2" s="1"/>
  <c r="N51" i="2"/>
  <c r="M51" i="2" s="1"/>
  <c r="N37" i="2"/>
  <c r="M37" i="2" s="1"/>
  <c r="N29" i="2"/>
  <c r="M29" i="2" s="1"/>
  <c r="N44" i="2"/>
  <c r="M44" i="2" s="1"/>
  <c r="N47" i="2"/>
  <c r="M47" i="2" s="1"/>
  <c r="N42" i="2"/>
  <c r="M42" i="2" s="1"/>
  <c r="N35" i="2"/>
  <c r="M35" i="2" s="1"/>
  <c r="N60" i="2"/>
  <c r="M60" i="2" s="1"/>
  <c r="N31" i="2"/>
  <c r="M31" i="2" s="1"/>
  <c r="N49" i="2"/>
  <c r="M49" i="2" s="1"/>
  <c r="N39" i="2"/>
  <c r="M39" i="2" s="1"/>
  <c r="N33" i="2"/>
  <c r="M33" i="2" s="1"/>
  <c r="N56" i="2"/>
  <c r="H68" i="2"/>
  <c r="G56" i="2"/>
  <c r="G142" i="2" s="1"/>
  <c r="G172" i="2" s="1"/>
  <c r="M56" i="2" l="1"/>
  <c r="K142" i="2" s="1"/>
  <c r="K121" i="2"/>
  <c r="K152" i="2"/>
  <c r="K84" i="2"/>
  <c r="K126" i="2"/>
  <c r="K147" i="2"/>
  <c r="K104" i="2"/>
  <c r="K137" i="2"/>
  <c r="K131" i="2"/>
  <c r="K94" i="2"/>
  <c r="K110" i="2"/>
  <c r="K115" i="2"/>
  <c r="K99" i="2"/>
  <c r="K79" i="2"/>
  <c r="J80" i="2" s="1"/>
  <c r="G68" i="2"/>
  <c r="C17" i="2" l="1"/>
  <c r="C15" i="2"/>
  <c r="C14" i="2"/>
  <c r="C13" i="2"/>
  <c r="C16" i="2"/>
  <c r="J144" i="2"/>
  <c r="J143" i="2"/>
  <c r="J145" i="2"/>
  <c r="J142" i="2"/>
  <c r="J96" i="2"/>
  <c r="J95" i="2"/>
  <c r="J97" i="2"/>
  <c r="J94" i="2"/>
  <c r="J140" i="2"/>
  <c r="J138" i="2"/>
  <c r="J139" i="2"/>
  <c r="J137" i="2"/>
  <c r="J106" i="2"/>
  <c r="J104" i="2"/>
  <c r="J105" i="2"/>
  <c r="J107" i="2"/>
  <c r="J152" i="2"/>
  <c r="J153" i="2"/>
  <c r="J155" i="2"/>
  <c r="J154" i="2"/>
  <c r="J121" i="2"/>
  <c r="J124" i="2"/>
  <c r="J123" i="2"/>
  <c r="J122" i="2"/>
  <c r="J99" i="2"/>
  <c r="J100" i="2"/>
  <c r="J101" i="2"/>
  <c r="J102" i="2"/>
  <c r="J148" i="2"/>
  <c r="J147" i="2"/>
  <c r="J150" i="2"/>
  <c r="J149" i="2"/>
  <c r="J129" i="2"/>
  <c r="J126" i="2"/>
  <c r="J128" i="2"/>
  <c r="J127" i="2"/>
  <c r="J113" i="2"/>
  <c r="J110" i="2"/>
  <c r="J112" i="2"/>
  <c r="J111" i="2"/>
  <c r="J134" i="2"/>
  <c r="J132" i="2"/>
  <c r="J133" i="2"/>
  <c r="J131" i="2"/>
  <c r="J118" i="2"/>
  <c r="J115" i="2"/>
  <c r="J117" i="2"/>
  <c r="J116" i="2"/>
  <c r="J87" i="2"/>
  <c r="J86" i="2"/>
  <c r="J84" i="2"/>
  <c r="J85" i="2"/>
  <c r="J25" i="2"/>
  <c r="K89" i="2"/>
  <c r="K172" i="2" s="1"/>
  <c r="J81" i="2"/>
  <c r="J82" i="2"/>
  <c r="J79" i="2"/>
  <c r="J141" i="2" l="1"/>
  <c r="J146" i="2"/>
  <c r="J135" i="2"/>
  <c r="J130" i="2"/>
  <c r="J103" i="2"/>
  <c r="J156" i="2"/>
  <c r="J119" i="2"/>
  <c r="J114" i="2"/>
  <c r="J108" i="2"/>
  <c r="J88" i="2"/>
  <c r="J151" i="2"/>
  <c r="J98" i="2"/>
  <c r="J125" i="2"/>
  <c r="J90" i="2"/>
  <c r="G14" i="2" s="1"/>
  <c r="J89" i="2"/>
  <c r="J92" i="2"/>
  <c r="J91" i="2"/>
  <c r="J177" i="2" s="1"/>
  <c r="J83" i="2"/>
  <c r="K106" i="3"/>
  <c r="K111" i="3"/>
  <c r="K96" i="3"/>
  <c r="J97" i="3" s="1"/>
  <c r="K116" i="3"/>
  <c r="G101" i="3"/>
  <c r="G86" i="3"/>
  <c r="K101" i="3"/>
  <c r="K91" i="3"/>
  <c r="K81" i="3"/>
  <c r="G15" i="2" l="1"/>
  <c r="G16" i="2"/>
  <c r="J175" i="2"/>
  <c r="G13" i="2"/>
  <c r="J178" i="2"/>
  <c r="J93" i="2"/>
  <c r="G17" i="2" s="1"/>
  <c r="J176" i="2"/>
  <c r="K76" i="3"/>
  <c r="J76" i="3" s="1"/>
  <c r="J25" i="3"/>
  <c r="J108" i="3"/>
  <c r="J109" i="3"/>
  <c r="J107" i="3"/>
  <c r="J106" i="3"/>
  <c r="J103" i="3"/>
  <c r="J101" i="3"/>
  <c r="J104" i="3"/>
  <c r="J102" i="3"/>
  <c r="G195" i="3"/>
  <c r="G166" i="3"/>
  <c r="J94" i="3"/>
  <c r="J91" i="3"/>
  <c r="J93" i="3"/>
  <c r="J92" i="3"/>
  <c r="J111" i="3"/>
  <c r="J112" i="3"/>
  <c r="J113" i="3"/>
  <c r="J114" i="3"/>
  <c r="J116" i="3"/>
  <c r="J117" i="3"/>
  <c r="J118" i="3"/>
  <c r="J119" i="3"/>
  <c r="K86" i="3"/>
  <c r="H65" i="3"/>
  <c r="J84" i="3"/>
  <c r="J96" i="3"/>
  <c r="J82" i="3"/>
  <c r="J99" i="3"/>
  <c r="J81" i="3"/>
  <c r="J83" i="3"/>
  <c r="G65" i="3"/>
  <c r="J98" i="3"/>
  <c r="N18" i="2" l="1"/>
  <c r="J179" i="2"/>
  <c r="J180" i="2" s="1"/>
  <c r="H40" i="11"/>
  <c r="J172" i="2"/>
  <c r="K166" i="3"/>
  <c r="J79" i="3"/>
  <c r="J78" i="3"/>
  <c r="J77" i="3"/>
  <c r="G14" i="3" s="1"/>
  <c r="J120" i="3"/>
  <c r="J105" i="3"/>
  <c r="J115" i="3"/>
  <c r="J110" i="3"/>
  <c r="J100" i="3"/>
  <c r="J95" i="3"/>
  <c r="J85" i="3"/>
  <c r="J86" i="3"/>
  <c r="J197" i="3" s="1"/>
  <c r="J89" i="3"/>
  <c r="J88" i="3"/>
  <c r="J87" i="3"/>
  <c r="K195" i="3"/>
  <c r="G15" i="3" l="1"/>
  <c r="G16" i="3"/>
  <c r="G13" i="3"/>
  <c r="J200" i="3"/>
  <c r="J80" i="3"/>
  <c r="J198" i="3"/>
  <c r="J171" i="3"/>
  <c r="J172" i="3"/>
  <c r="J199" i="3"/>
  <c r="J169" i="3"/>
  <c r="J90" i="3"/>
  <c r="J170" i="3"/>
  <c r="G17" i="3" l="1"/>
  <c r="H41" i="11" s="1"/>
  <c r="J201" i="3"/>
  <c r="J166" i="3"/>
  <c r="J195" i="3"/>
  <c r="J173" i="3"/>
  <c r="J174" i="3" s="1"/>
  <c r="G101" i="4"/>
  <c r="G29" i="4"/>
  <c r="G76" i="4" s="1"/>
  <c r="G166" i="4" s="1"/>
  <c r="H29" i="4"/>
  <c r="N18" i="3" l="1"/>
  <c r="N37" i="4"/>
  <c r="M37" i="4" s="1"/>
  <c r="N43" i="4"/>
  <c r="M43" i="4" s="1"/>
  <c r="N39" i="4"/>
  <c r="M39" i="4" s="1"/>
  <c r="N41" i="4"/>
  <c r="M41" i="4" s="1"/>
  <c r="N33" i="4"/>
  <c r="M33" i="4" s="1"/>
  <c r="N31" i="4"/>
  <c r="M31" i="4" s="1"/>
  <c r="N35" i="4"/>
  <c r="M35" i="4" s="1"/>
  <c r="N29" i="4"/>
  <c r="M29" i="4" s="1"/>
  <c r="G65" i="4"/>
  <c r="H65" i="4"/>
  <c r="C17" i="4" l="1"/>
  <c r="C16" i="4"/>
  <c r="C15" i="4"/>
  <c r="C14" i="4"/>
  <c r="C13" i="4"/>
  <c r="K111" i="4"/>
  <c r="J113" i="4" s="1"/>
  <c r="K101" i="4"/>
  <c r="J101" i="4" s="1"/>
  <c r="K106" i="4"/>
  <c r="K76" i="4"/>
  <c r="J76" i="4" s="1"/>
  <c r="K81" i="4"/>
  <c r="K86" i="4"/>
  <c r="J86" i="4" s="1"/>
  <c r="K91" i="4"/>
  <c r="K96" i="4"/>
  <c r="J89" i="4" l="1"/>
  <c r="J87" i="4"/>
  <c r="J88" i="4"/>
  <c r="J109" i="4"/>
  <c r="J108" i="4"/>
  <c r="J107" i="4"/>
  <c r="J106" i="4"/>
  <c r="J98" i="4"/>
  <c r="J99" i="4"/>
  <c r="J97" i="4"/>
  <c r="J96" i="4"/>
  <c r="J91" i="4"/>
  <c r="J94" i="4"/>
  <c r="J92" i="4"/>
  <c r="J93" i="4"/>
  <c r="J84" i="4"/>
  <c r="J81" i="4"/>
  <c r="G13" i="4" s="1"/>
  <c r="J82" i="4"/>
  <c r="J83" i="4"/>
  <c r="J25" i="4"/>
  <c r="J103" i="4"/>
  <c r="J104" i="4"/>
  <c r="J112" i="4"/>
  <c r="J114" i="4"/>
  <c r="J102" i="4"/>
  <c r="J111" i="4"/>
  <c r="J77" i="4"/>
  <c r="G14" i="4" s="1"/>
  <c r="K166" i="4"/>
  <c r="J78" i="4"/>
  <c r="J79" i="4"/>
  <c r="G105" i="5"/>
  <c r="G42" i="5"/>
  <c r="H42" i="5"/>
  <c r="G15" i="4" l="1"/>
  <c r="G16" i="4"/>
  <c r="N35" i="5"/>
  <c r="M35" i="5" s="1"/>
  <c r="N62" i="5"/>
  <c r="M62" i="5" s="1"/>
  <c r="N50" i="5"/>
  <c r="M50" i="5" s="1"/>
  <c r="N55" i="5"/>
  <c r="M55" i="5" s="1"/>
  <c r="N29" i="5"/>
  <c r="M29" i="5" s="1"/>
  <c r="N33" i="5"/>
  <c r="M33" i="5" s="1"/>
  <c r="N46" i="5"/>
  <c r="M46" i="5" s="1"/>
  <c r="N37" i="5"/>
  <c r="M37" i="5" s="1"/>
  <c r="N64" i="5"/>
  <c r="M64" i="5" s="1"/>
  <c r="N31" i="5"/>
  <c r="M31" i="5" s="1"/>
  <c r="N57" i="5"/>
  <c r="M57" i="5" s="1"/>
  <c r="N52" i="5"/>
  <c r="M52" i="5" s="1"/>
  <c r="N40" i="5"/>
  <c r="M40" i="5" s="1"/>
  <c r="N48" i="5"/>
  <c r="M48" i="5" s="1"/>
  <c r="N59" i="5"/>
  <c r="M59" i="5" s="1"/>
  <c r="N66" i="5"/>
  <c r="M66" i="5" s="1"/>
  <c r="N44" i="5"/>
  <c r="M44" i="5" s="1"/>
  <c r="N42" i="5"/>
  <c r="J95" i="4"/>
  <c r="J90" i="4"/>
  <c r="J110" i="4"/>
  <c r="J100" i="4"/>
  <c r="J85" i="4"/>
  <c r="J170" i="4"/>
  <c r="J105" i="4"/>
  <c r="J115" i="4"/>
  <c r="J169" i="4"/>
  <c r="J172" i="4"/>
  <c r="J171" i="4"/>
  <c r="J80" i="4"/>
  <c r="G125" i="5"/>
  <c r="G110" i="5"/>
  <c r="G68" i="5"/>
  <c r="H68" i="5"/>
  <c r="G17" i="4" l="1"/>
  <c r="N18" i="4" s="1"/>
  <c r="M42" i="5"/>
  <c r="K110" i="5" s="1"/>
  <c r="K130" i="5"/>
  <c r="K94" i="5"/>
  <c r="K115" i="5"/>
  <c r="K146" i="5"/>
  <c r="K141" i="5"/>
  <c r="K151" i="5"/>
  <c r="K157" i="5"/>
  <c r="K105" i="5"/>
  <c r="K89" i="5"/>
  <c r="K120" i="5"/>
  <c r="K135" i="5"/>
  <c r="K99" i="5"/>
  <c r="K125" i="5"/>
  <c r="K167" i="5"/>
  <c r="K162" i="5"/>
  <c r="J173" i="4"/>
  <c r="J174" i="4" s="1"/>
  <c r="J166" i="4"/>
  <c r="K79" i="5"/>
  <c r="J79" i="5" s="1"/>
  <c r="G172" i="5"/>
  <c r="C15" i="5" l="1"/>
  <c r="C16" i="5"/>
  <c r="C14" i="5"/>
  <c r="C17" i="5"/>
  <c r="C13" i="5"/>
  <c r="J111" i="5"/>
  <c r="J112" i="5"/>
  <c r="J110" i="5"/>
  <c r="J113" i="5"/>
  <c r="H42" i="11"/>
  <c r="J25" i="5"/>
  <c r="J169" i="5"/>
  <c r="J168" i="5"/>
  <c r="J167" i="5"/>
  <c r="J170" i="5"/>
  <c r="J102" i="5"/>
  <c r="J100" i="5"/>
  <c r="J101" i="5"/>
  <c r="J99" i="5"/>
  <c r="J143" i="5"/>
  <c r="J144" i="5"/>
  <c r="J142" i="5"/>
  <c r="J141" i="5"/>
  <c r="J165" i="5"/>
  <c r="J162" i="5"/>
  <c r="J163" i="5"/>
  <c r="J164" i="5"/>
  <c r="J126" i="5"/>
  <c r="J127" i="5"/>
  <c r="J125" i="5"/>
  <c r="J128" i="5"/>
  <c r="J146" i="5"/>
  <c r="J149" i="5"/>
  <c r="J148" i="5"/>
  <c r="J147" i="5"/>
  <c r="J157" i="5"/>
  <c r="J160" i="5"/>
  <c r="J159" i="5"/>
  <c r="J158" i="5"/>
  <c r="J135" i="5"/>
  <c r="J138" i="5"/>
  <c r="J137" i="5"/>
  <c r="J136" i="5"/>
  <c r="J120" i="5"/>
  <c r="J122" i="5"/>
  <c r="J121" i="5"/>
  <c r="J123" i="5"/>
  <c r="J117" i="5"/>
  <c r="J116" i="5"/>
  <c r="J115" i="5"/>
  <c r="J118" i="5"/>
  <c r="J105" i="5"/>
  <c r="J106" i="5"/>
  <c r="J108" i="5"/>
  <c r="J107" i="5"/>
  <c r="J151" i="5"/>
  <c r="J154" i="5"/>
  <c r="J152" i="5"/>
  <c r="J153" i="5"/>
  <c r="J95" i="5"/>
  <c r="J96" i="5"/>
  <c r="J94" i="5"/>
  <c r="J97" i="5"/>
  <c r="J92" i="5"/>
  <c r="J89" i="5"/>
  <c r="J91" i="5"/>
  <c r="J90" i="5"/>
  <c r="J130" i="5"/>
  <c r="J133" i="5"/>
  <c r="J132" i="5"/>
  <c r="J131" i="5"/>
  <c r="K84" i="5"/>
  <c r="J81" i="5"/>
  <c r="J82" i="5"/>
  <c r="J80" i="5"/>
  <c r="G16" i="5" l="1"/>
  <c r="G15" i="5"/>
  <c r="J114" i="5"/>
  <c r="J134" i="5"/>
  <c r="J161" i="5"/>
  <c r="J145" i="5"/>
  <c r="J129" i="5"/>
  <c r="J171" i="5"/>
  <c r="J119" i="5"/>
  <c r="J109" i="5"/>
  <c r="J150" i="5"/>
  <c r="J124" i="5"/>
  <c r="J98" i="5"/>
  <c r="J93" i="5"/>
  <c r="J166" i="5"/>
  <c r="J155" i="5"/>
  <c r="J139" i="5"/>
  <c r="J103" i="5"/>
  <c r="J87" i="5"/>
  <c r="K172" i="5"/>
  <c r="J86" i="5"/>
  <c r="J177" i="5" s="1"/>
  <c r="J85" i="5"/>
  <c r="J176" i="5" s="1"/>
  <c r="J84" i="5"/>
  <c r="G13" i="5" s="1"/>
  <c r="J83" i="5"/>
  <c r="G104" i="6"/>
  <c r="G124" i="6"/>
  <c r="H61" i="6"/>
  <c r="G14" i="5" l="1"/>
  <c r="N46" i="6"/>
  <c r="M46" i="6" s="1"/>
  <c r="N50" i="6"/>
  <c r="M50" i="6" s="1"/>
  <c r="N59" i="6"/>
  <c r="M59" i="6" s="1"/>
  <c r="N35" i="6"/>
  <c r="M35" i="6" s="1"/>
  <c r="N56" i="6"/>
  <c r="M56" i="6" s="1"/>
  <c r="N29" i="6"/>
  <c r="M29" i="6" s="1"/>
  <c r="N52" i="6"/>
  <c r="M52" i="6" s="1"/>
  <c r="N54" i="6"/>
  <c r="M54" i="6" s="1"/>
  <c r="N40" i="6"/>
  <c r="M40" i="6" s="1"/>
  <c r="N38" i="6"/>
  <c r="M38" i="6" s="1"/>
  <c r="N44" i="6"/>
  <c r="M44" i="6" s="1"/>
  <c r="N31" i="6"/>
  <c r="M31" i="6" s="1"/>
  <c r="N48" i="6"/>
  <c r="M48" i="6" s="1"/>
  <c r="N33" i="6"/>
  <c r="M33" i="6" s="1"/>
  <c r="N42" i="6"/>
  <c r="M42" i="6" s="1"/>
  <c r="N61" i="6"/>
  <c r="J178" i="5"/>
  <c r="J175" i="5"/>
  <c r="J88" i="5"/>
  <c r="H67" i="6"/>
  <c r="G61" i="6"/>
  <c r="G155" i="6" s="1"/>
  <c r="G170" i="6" s="1"/>
  <c r="G17" i="5" l="1"/>
  <c r="H43" i="11" s="1"/>
  <c r="M61" i="6"/>
  <c r="K155" i="6" s="1"/>
  <c r="J179" i="5"/>
  <c r="J180" i="5" s="1"/>
  <c r="K139" i="6"/>
  <c r="K104" i="6"/>
  <c r="K129" i="6"/>
  <c r="K134" i="6"/>
  <c r="K109" i="6"/>
  <c r="K119" i="6"/>
  <c r="K83" i="6"/>
  <c r="K93" i="6"/>
  <c r="K124" i="6"/>
  <c r="K150" i="6"/>
  <c r="K88" i="6"/>
  <c r="K144" i="6"/>
  <c r="K99" i="6"/>
  <c r="K114" i="6"/>
  <c r="J172" i="5"/>
  <c r="K78" i="6"/>
  <c r="J78" i="6" s="1"/>
  <c r="G67" i="6"/>
  <c r="C17" i="6" l="1"/>
  <c r="C13" i="6"/>
  <c r="C14" i="6"/>
  <c r="C15" i="6"/>
  <c r="C16" i="6"/>
  <c r="N18" i="5"/>
  <c r="J156" i="6"/>
  <c r="J155" i="6"/>
  <c r="J158" i="6"/>
  <c r="J157" i="6"/>
  <c r="J25" i="6"/>
  <c r="J122" i="6"/>
  <c r="J120" i="6"/>
  <c r="J119" i="6"/>
  <c r="J121" i="6"/>
  <c r="J101" i="6"/>
  <c r="J102" i="6"/>
  <c r="J100" i="6"/>
  <c r="J99" i="6"/>
  <c r="J109" i="6"/>
  <c r="J112" i="6"/>
  <c r="J111" i="6"/>
  <c r="J110" i="6"/>
  <c r="J93" i="6"/>
  <c r="J96" i="6"/>
  <c r="J94" i="6"/>
  <c r="J95" i="6"/>
  <c r="J137" i="6"/>
  <c r="J134" i="6"/>
  <c r="J136" i="6"/>
  <c r="J135" i="6"/>
  <c r="J84" i="6"/>
  <c r="J85" i="6"/>
  <c r="J83" i="6"/>
  <c r="J86" i="6"/>
  <c r="J91" i="6"/>
  <c r="J89" i="6"/>
  <c r="J88" i="6"/>
  <c r="J90" i="6"/>
  <c r="J131" i="6"/>
  <c r="J132" i="6"/>
  <c r="J130" i="6"/>
  <c r="J129" i="6"/>
  <c r="J145" i="6"/>
  <c r="J147" i="6"/>
  <c r="J144" i="6"/>
  <c r="J146" i="6"/>
  <c r="J106" i="6"/>
  <c r="J104" i="6"/>
  <c r="J105" i="6"/>
  <c r="J107" i="6"/>
  <c r="J114" i="6"/>
  <c r="J115" i="6"/>
  <c r="J116" i="6"/>
  <c r="J117" i="6"/>
  <c r="J151" i="6"/>
  <c r="J153" i="6"/>
  <c r="J152" i="6"/>
  <c r="J150" i="6"/>
  <c r="J124" i="6"/>
  <c r="J127" i="6"/>
  <c r="J125" i="6"/>
  <c r="J126" i="6"/>
  <c r="J142" i="6"/>
  <c r="J139" i="6"/>
  <c r="J141" i="6"/>
  <c r="J140" i="6"/>
  <c r="K170" i="6"/>
  <c r="J80" i="6"/>
  <c r="J79" i="6"/>
  <c r="J81" i="6"/>
  <c r="G13" i="6" l="1"/>
  <c r="G16" i="6"/>
  <c r="G15" i="6"/>
  <c r="G14" i="6"/>
  <c r="J138" i="6"/>
  <c r="J113" i="6"/>
  <c r="J159" i="6"/>
  <c r="J133" i="6"/>
  <c r="J118" i="6"/>
  <c r="J92" i="6"/>
  <c r="J123" i="6"/>
  <c r="J148" i="6"/>
  <c r="J154" i="6"/>
  <c r="J128" i="6"/>
  <c r="J108" i="6"/>
  <c r="J173" i="6"/>
  <c r="J97" i="6"/>
  <c r="J143" i="6"/>
  <c r="J103" i="6"/>
  <c r="J175" i="6"/>
  <c r="J87" i="6"/>
  <c r="J174" i="6"/>
  <c r="J176" i="6"/>
  <c r="J82" i="6"/>
  <c r="G37" i="7"/>
  <c r="G101" i="7"/>
  <c r="H37" i="7"/>
  <c r="G17" i="6" l="1"/>
  <c r="N18" i="6" s="1"/>
  <c r="N31" i="7"/>
  <c r="M31" i="7" s="1"/>
  <c r="N29" i="7"/>
  <c r="M29" i="7" s="1"/>
  <c r="N39" i="7"/>
  <c r="M39" i="7" s="1"/>
  <c r="N45" i="7"/>
  <c r="M45" i="7" s="1"/>
  <c r="N49" i="7"/>
  <c r="M49" i="7" s="1"/>
  <c r="N51" i="7"/>
  <c r="M51" i="7" s="1"/>
  <c r="N47" i="7"/>
  <c r="M47" i="7" s="1"/>
  <c r="N55" i="7"/>
  <c r="M55" i="7" s="1"/>
  <c r="N33" i="7"/>
  <c r="M33" i="7" s="1"/>
  <c r="N35" i="7"/>
  <c r="M35" i="7" s="1"/>
  <c r="N41" i="7"/>
  <c r="M41" i="7" s="1"/>
  <c r="N57" i="7"/>
  <c r="M57" i="7" s="1"/>
  <c r="N53" i="7"/>
  <c r="M53" i="7" s="1"/>
  <c r="N43" i="7"/>
  <c r="M43" i="7" s="1"/>
  <c r="N59" i="7"/>
  <c r="M59" i="7" s="1"/>
  <c r="N37" i="7"/>
  <c r="J170" i="6"/>
  <c r="J177" i="6"/>
  <c r="J178" i="6" s="1"/>
  <c r="G96" i="7"/>
  <c r="G65" i="7"/>
  <c r="G121" i="7"/>
  <c r="H65" i="7"/>
  <c r="H44" i="11" l="1"/>
  <c r="M37" i="7"/>
  <c r="K96" i="7" s="1"/>
  <c r="K101" i="7"/>
  <c r="K76" i="7"/>
  <c r="J76" i="7" s="1"/>
  <c r="K116" i="7"/>
  <c r="K121" i="7"/>
  <c r="K141" i="7"/>
  <c r="K131" i="7"/>
  <c r="K111" i="7"/>
  <c r="K126" i="7"/>
  <c r="K146" i="7"/>
  <c r="K106" i="7"/>
  <c r="K86" i="7"/>
  <c r="K81" i="7"/>
  <c r="K91" i="7"/>
  <c r="K136" i="7"/>
  <c r="K151" i="7"/>
  <c r="G166" i="7"/>
  <c r="C13" i="7" l="1"/>
  <c r="C14" i="7"/>
  <c r="C15" i="7"/>
  <c r="C16" i="7"/>
  <c r="C17" i="7"/>
  <c r="J97" i="7"/>
  <c r="J96" i="7"/>
  <c r="J98" i="7"/>
  <c r="J99" i="7"/>
  <c r="J104" i="7"/>
  <c r="J101" i="7"/>
  <c r="J102" i="7"/>
  <c r="J103" i="7"/>
  <c r="J79" i="7"/>
  <c r="J78" i="7"/>
  <c r="J77" i="7"/>
  <c r="J25" i="7"/>
  <c r="J106" i="7"/>
  <c r="J109" i="7"/>
  <c r="J107" i="7"/>
  <c r="J139" i="7"/>
  <c r="J137" i="7"/>
  <c r="J132" i="7"/>
  <c r="J134" i="7"/>
  <c r="J133" i="7"/>
  <c r="J131" i="7"/>
  <c r="J128" i="7"/>
  <c r="J129" i="7"/>
  <c r="J126" i="7"/>
  <c r="J127" i="7"/>
  <c r="J112" i="7"/>
  <c r="J113" i="7"/>
  <c r="J114" i="7"/>
  <c r="J111" i="7"/>
  <c r="J152" i="7"/>
  <c r="J153" i="7"/>
  <c r="J151" i="7"/>
  <c r="J154" i="7"/>
  <c r="J93" i="7"/>
  <c r="J91" i="7"/>
  <c r="J92" i="7"/>
  <c r="J94" i="7"/>
  <c r="J84" i="7"/>
  <c r="J83" i="7"/>
  <c r="J81" i="7"/>
  <c r="J82" i="7"/>
  <c r="K166" i="7"/>
  <c r="J88" i="7"/>
  <c r="J86" i="7"/>
  <c r="J89" i="7"/>
  <c r="J87" i="7"/>
  <c r="J142" i="7"/>
  <c r="J144" i="7"/>
  <c r="J141" i="7"/>
  <c r="J143" i="7"/>
  <c r="J122" i="7"/>
  <c r="J123" i="7"/>
  <c r="J121" i="7"/>
  <c r="J124" i="7"/>
  <c r="J148" i="7"/>
  <c r="J149" i="7"/>
  <c r="J147" i="7"/>
  <c r="J146" i="7"/>
  <c r="J117" i="7"/>
  <c r="J118" i="7"/>
  <c r="J119" i="7"/>
  <c r="J116" i="7"/>
  <c r="J108" i="7"/>
  <c r="J138" i="7"/>
  <c r="J136" i="7"/>
  <c r="G14" i="7" l="1"/>
  <c r="G15" i="7"/>
  <c r="G13" i="7"/>
  <c r="G16" i="7"/>
  <c r="J100" i="7"/>
  <c r="J80" i="7"/>
  <c r="J105" i="7"/>
  <c r="J130" i="7"/>
  <c r="J85" i="7"/>
  <c r="J110" i="7"/>
  <c r="J150" i="7"/>
  <c r="J145" i="7"/>
  <c r="J155" i="7"/>
  <c r="J90" i="7"/>
  <c r="J125" i="7"/>
  <c r="J140" i="7"/>
  <c r="J95" i="7"/>
  <c r="J115" i="7"/>
  <c r="J135" i="7"/>
  <c r="J169" i="7"/>
  <c r="J171" i="7"/>
  <c r="J120" i="7"/>
  <c r="J170" i="7"/>
  <c r="J172" i="7"/>
  <c r="G86" i="9"/>
  <c r="G31" i="9"/>
  <c r="G65" i="9" s="1"/>
  <c r="H31" i="9"/>
  <c r="G17" i="7" l="1"/>
  <c r="H45" i="11" s="1"/>
  <c r="N37" i="9"/>
  <c r="M37" i="9" s="1"/>
  <c r="N31" i="9"/>
  <c r="M31" i="9" s="1"/>
  <c r="N29" i="9"/>
  <c r="M29" i="9" s="1"/>
  <c r="N33" i="9"/>
  <c r="M33" i="9" s="1"/>
  <c r="N35" i="9"/>
  <c r="M35" i="9" s="1"/>
  <c r="J166" i="7"/>
  <c r="J173" i="7"/>
  <c r="J174" i="7" s="1"/>
  <c r="H65" i="9"/>
  <c r="G81" i="9"/>
  <c r="N18" i="7" l="1"/>
  <c r="C17" i="9"/>
  <c r="C16" i="9"/>
  <c r="C15" i="9"/>
  <c r="C14" i="9"/>
  <c r="C13" i="9"/>
  <c r="K86" i="9"/>
  <c r="K96" i="9"/>
  <c r="K91" i="9"/>
  <c r="K76" i="9"/>
  <c r="J77" i="9" s="1"/>
  <c r="K81" i="9"/>
  <c r="J82" i="9" s="1"/>
  <c r="G166" i="9"/>
  <c r="J25" i="9" l="1"/>
  <c r="J96" i="9"/>
  <c r="J97" i="9"/>
  <c r="J98" i="9"/>
  <c r="J99" i="9"/>
  <c r="J91" i="9"/>
  <c r="J92" i="9"/>
  <c r="J93" i="9"/>
  <c r="J94" i="9"/>
  <c r="J87" i="9"/>
  <c r="G14" i="9" s="1"/>
  <c r="J88" i="9"/>
  <c r="J89" i="9"/>
  <c r="J86" i="9"/>
  <c r="J79" i="9"/>
  <c r="J78" i="9"/>
  <c r="J76" i="9"/>
  <c r="J83" i="9"/>
  <c r="J81" i="9"/>
  <c r="J84" i="9"/>
  <c r="K166" i="9"/>
  <c r="G13" i="9" l="1"/>
  <c r="G16" i="9"/>
  <c r="G15" i="9"/>
  <c r="J95" i="9"/>
  <c r="J170" i="9"/>
  <c r="J90" i="9"/>
  <c r="J100" i="9"/>
  <c r="J172" i="9"/>
  <c r="J80" i="9"/>
  <c r="J85" i="9"/>
  <c r="J171" i="9"/>
  <c r="J169" i="9"/>
  <c r="G17" i="9" l="1"/>
  <c r="N18" i="9" s="1"/>
  <c r="J166" i="9"/>
  <c r="J173" i="9"/>
  <c r="J174" i="9" s="1"/>
  <c r="H47" i="11" l="1"/>
  <c r="H48" i="11" s="1"/>
  <c r="B28" i="11" s="1"/>
</calcChain>
</file>

<file path=xl/sharedStrings.xml><?xml version="1.0" encoding="utf-8"?>
<sst xmlns="http://schemas.openxmlformats.org/spreadsheetml/2006/main" count="4877" uniqueCount="580">
  <si>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</si>
  <si>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</si>
  <si>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</si>
  <si>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</si>
  <si>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</si>
  <si>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</si>
  <si>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</si>
  <si>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</si>
  <si>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</si>
  <si>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</si>
  <si>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</si>
  <si>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</si>
  <si>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</si>
  <si>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</si>
  <si>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</si>
  <si>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</si>
  <si>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</si>
  <si>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IMPORTE</t>
  </si>
  <si>
    <t>Expediente n.º S/01533/2025</t>
  </si>
  <si>
    <t>ID</t>
  </si>
  <si>
    <t>A.B-01</t>
  </si>
  <si>
    <t>A.B-02</t>
  </si>
  <si>
    <t>A.B-03</t>
  </si>
  <si>
    <t>A.B-04</t>
  </si>
  <si>
    <t>A.B-05</t>
  </si>
  <si>
    <t>Recopilación de información y toma de datos</t>
  </si>
  <si>
    <t>Análisis y evaluación, determinación del balance de energía</t>
  </si>
  <si>
    <t>Redacción del Informe Final</t>
  </si>
  <si>
    <t>%</t>
  </si>
  <si>
    <t>ACTUACIONES BÁSICAS</t>
  </si>
  <si>
    <t>Resumen ofertado por lote</t>
  </si>
  <si>
    <t>CCAA Andalucía y Extremadura, Ciudades Autónomas de Ceuta y Melilla</t>
  </si>
  <si>
    <t>CCAA Aragón, Navarra, La Rioja y el País Vasco.</t>
  </si>
  <si>
    <t>Comunidad de Madrid, sede Prado del Rey</t>
  </si>
  <si>
    <t>Comunidad de Madrid, sede Torrespaña, Dehesa de la Villa (IRTVE), inmuebles sin uso.</t>
  </si>
  <si>
    <t>CCAA Valencia, Castilla-La Mancha, Illes Balears y Murcia.</t>
  </si>
  <si>
    <t>CCAA Cantabria, Castilla-León y Asturias.</t>
  </si>
  <si>
    <t>Comunidad Autónoma de Cataluña.</t>
  </si>
  <si>
    <t>Comunidad Autónoma de Galicia.</t>
  </si>
  <si>
    <t>Comunidad Autónoma de Canarias.</t>
  </si>
  <si>
    <t>Lote</t>
  </si>
  <si>
    <t>Detalle CC.AA. Y Ciudades Autonomas</t>
  </si>
  <si>
    <t>NOTA IMPORTANTE: 
resumen informativo, no válido como oferta</t>
  </si>
  <si>
    <t>TOTAL OFERTAS EXPEDIENTE S-01533-2025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</si>
  <si>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</si>
  <si>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NOTA IMPORTANTE: 
ESTE ANEXO I  Y TABLA/S DESGLOSE DE PRECIO SE PRESENTARAN FIRMADOS
 EN FORMATO PDF</t>
  </si>
  <si>
    <t>Las proposiciones económicas no podrán superar superar el importe total para cada uno de los lotes del valor estimado indicado en el PCAP cláusula 3ª.</t>
  </si>
  <si>
    <t>Será obligatorio cumplimentar todos los campos de los formularios en caso contrario se desestimará oferta.</t>
  </si>
  <si>
    <t>LOTE</t>
  </si>
  <si>
    <t>TOTAL OFERTA</t>
  </si>
  <si>
    <t>“A.T. para redacción de auditorías energéticas y certificados energéticos de SEDES CRTVE "</t>
  </si>
  <si>
    <t>Descripción</t>
  </si>
  <si>
    <t xml:space="preserve">Importe oferta </t>
  </si>
  <si>
    <t>B.  Desglose Precio</t>
  </si>
  <si>
    <t>(tabla/s desglose/s precio por lote se incluye/n en página/s siguiente/s)</t>
  </si>
  <si>
    <r>
      <t xml:space="preserve">Indicar importe anual </t>
    </r>
    <r>
      <rPr>
        <b/>
        <i/>
        <u/>
        <sz val="8"/>
        <color theme="1"/>
        <rFont val="Calibri"/>
        <family val="2"/>
        <scheme val="minor"/>
      </rPr>
      <t>de los lotes para los que se presenta oferta</t>
    </r>
    <r>
      <rPr>
        <i/>
        <sz val="8"/>
        <color theme="1"/>
        <rFont val="Calibri"/>
        <family val="2"/>
        <scheme val="minor"/>
      </rPr>
      <t xml:space="preserve"> incluyendo, en cada caso, el desglose de precios del apartado B.
Esta información </t>
    </r>
    <r>
      <rPr>
        <b/>
        <i/>
        <u/>
        <sz val="8"/>
        <color theme="1"/>
        <rFont val="Calibri"/>
        <family val="2"/>
        <scheme val="minor"/>
      </rPr>
      <t>solo puede completarse automáticamente</t>
    </r>
    <r>
      <rPr>
        <i/>
        <sz val="8"/>
        <color theme="1"/>
        <rFont val="Calibri"/>
        <family val="2"/>
        <scheme val="minor"/>
      </rPr>
      <t xml:space="preserve"> cumplimentando el desglose de precios de las CCAA o Ciudades Autonómas incluidas en el lote a ofertar.</t>
    </r>
  </si>
  <si>
    <t>S-01533-2025 - A.T. para redacción de auditorías energéticas y certificados energéticos de SEDES CRTVE</t>
  </si>
  <si>
    <t>Aportación de ficheros ofimáticos soporte del Informe Final</t>
  </si>
  <si>
    <t>TOTAL OFERTA LOTE   :</t>
  </si>
  <si>
    <t>LOTES</t>
  </si>
  <si>
    <t>trabajo</t>
  </si>
  <si>
    <t>INMUEBLES</t>
  </si>
  <si>
    <t> Id.</t>
  </si>
  <si>
    <t>ANDALUCÍA </t>
  </si>
  <si>
    <t>L01-01</t>
  </si>
  <si>
    <t>A + C</t>
  </si>
  <si>
    <t>C.E. OM ROQUETAS</t>
  </si>
  <si>
    <t>L01-02</t>
  </si>
  <si>
    <t>Campanilla</t>
  </si>
  <si>
    <t>C.E. OM CAMPANILLAS</t>
  </si>
  <si>
    <t>L01-03</t>
  </si>
  <si>
    <t>Avda. Aurora, 40, Bajo y 1º</t>
  </si>
  <si>
    <t>U.I. RTVE Málaga</t>
  </si>
  <si>
    <t>L01-04</t>
  </si>
  <si>
    <t>La Corchuela, Ctra SE-9024</t>
  </si>
  <si>
    <t>C.E. OM LA CORCHUELA</t>
  </si>
  <si>
    <t>L01-05</t>
  </si>
  <si>
    <t>Los Palacios. Crta. N-IV, Sevilla-Cádiz, Km. 563</t>
  </si>
  <si>
    <t>C.E. OM LOS PALACIOS / DOS HERMANAS</t>
  </si>
  <si>
    <t>L01-06</t>
  </si>
  <si>
    <t>Isla de la Cartuja</t>
  </si>
  <si>
    <t>C.T. RTVE Andalucía (Sevilla)</t>
  </si>
  <si>
    <t>L01-07</t>
  </si>
  <si>
    <t>Avenida  Andalucía 67 Bajo  11007</t>
  </si>
  <si>
    <t>C</t>
  </si>
  <si>
    <t>U.I. RTVE Cádiz</t>
  </si>
  <si>
    <t>L01-08</t>
  </si>
  <si>
    <t>Calle  SOS Rey Católico 8 (fachada a C/ Quevedo), Pt.baja  18006</t>
  </si>
  <si>
    <t>S.U. Granada (Sos Rey Católico)</t>
  </si>
  <si>
    <t>L01-09</t>
  </si>
  <si>
    <t>Plaza Carretas 5 Bajo  18009</t>
  </si>
  <si>
    <t>U.I. RTVE Granada</t>
  </si>
  <si>
    <t>L01-10</t>
  </si>
  <si>
    <t>Calle  La Fuente 4 Planta Baja  21004</t>
  </si>
  <si>
    <t>U.I. RTVE Huelva</t>
  </si>
  <si>
    <t>L01-11</t>
  </si>
  <si>
    <t xml:space="preserve">Avenida  Granada 57 N2-59 Es:1 Pl:00 Pt:A4 y Es:1 Pl:01 Pt:A5  23003 Garaje: 57 Es:1 Pl:-2 Pt:42 y 43 </t>
  </si>
  <si>
    <t>U.I. RTVE Jaén</t>
  </si>
  <si>
    <t>CEUTA/MELILLA</t>
  </si>
  <si>
    <t>L01-12</t>
  </si>
  <si>
    <t>Real, 90, 1ª</t>
  </si>
  <si>
    <t>U.I. RTVE Ceuta</t>
  </si>
  <si>
    <t>L01-13</t>
  </si>
  <si>
    <t>Av. Donantes de Sangre-Altos de la Vía</t>
  </si>
  <si>
    <t>U.I. RTVE Melilla</t>
  </si>
  <si>
    <t>EXTREMADURA</t>
  </si>
  <si>
    <t>L01-14</t>
  </si>
  <si>
    <t>C.E. OM ALDEA CANO / LAS ARGUIJUELA</t>
  </si>
  <si>
    <t>L01-15</t>
  </si>
  <si>
    <t>Antonio Nebrija, s/n</t>
  </si>
  <si>
    <t>C.T. RTVE Mérida</t>
  </si>
  <si>
    <t>L01-16</t>
  </si>
  <si>
    <t>Avenida  Ruta de la Plata 10 Plta. Baja, Local 2 y Plta. Semisótano II - Local 2ºA  10001</t>
  </si>
  <si>
    <t>C.T. RNE Extremadura</t>
  </si>
  <si>
    <t>L01-17</t>
  </si>
  <si>
    <t>Calle  Moreno de Vargas 28 1º C y 1º D  06800</t>
  </si>
  <si>
    <t>S.U. Mérida (Moreno de Vargas)</t>
  </si>
  <si>
    <t>L01-18</t>
  </si>
  <si>
    <t>Plaza  España 5 2ª Planta  06002</t>
  </si>
  <si>
    <t>U.I. RTVE Badajoz</t>
  </si>
  <si>
    <t>porcentajes admitidos</t>
  </si>
  <si>
    <t>mínimo</t>
  </si>
  <si>
    <t>máximo</t>
  </si>
  <si>
    <t>calculado</t>
  </si>
  <si>
    <t>% ajuste max</t>
  </si>
  <si>
    <t>% ajuste min</t>
  </si>
  <si>
    <t>TOTAL L01</t>
  </si>
  <si>
    <t>LOTE-02</t>
  </si>
  <si>
    <t>ARAGÓN</t>
  </si>
  <si>
    <t>L02-01</t>
  </si>
  <si>
    <t>C.E. FM y OM LA MUELA (TERUEL)</t>
  </si>
  <si>
    <t>L02-02</t>
  </si>
  <si>
    <t>C.E. FM y OM TORRERO</t>
  </si>
  <si>
    <t>L02-03</t>
  </si>
  <si>
    <t>C.T. RTVE Aragón (Zaragoza)</t>
  </si>
  <si>
    <t>L02-04</t>
  </si>
  <si>
    <t>S.U. Zaragoza</t>
  </si>
  <si>
    <t>L02-05</t>
  </si>
  <si>
    <t>U.I. RTVE Huesca</t>
  </si>
  <si>
    <t>L02-06</t>
  </si>
  <si>
    <t>U.I. RTVE Teruel</t>
  </si>
  <si>
    <t>NAVARRA</t>
  </si>
  <si>
    <t>L02-07</t>
  </si>
  <si>
    <t>C.T. RTVE Pamplona</t>
  </si>
  <si>
    <t>L02-08</t>
  </si>
  <si>
    <t>S.U. Pamplona (Abejeras)</t>
  </si>
  <si>
    <t>LA RIOJA</t>
  </si>
  <si>
    <t>L02-09</t>
  </si>
  <si>
    <t>C.E. OM LA GRAJERA</t>
  </si>
  <si>
    <t>L02-10</t>
  </si>
  <si>
    <t>C.E. MONCALVILLO</t>
  </si>
  <si>
    <t>L02-11</t>
  </si>
  <si>
    <t>C.T. RTVE La Rioja</t>
  </si>
  <si>
    <t>PAIS VASCO</t>
  </si>
  <si>
    <t>L02-12</t>
  </si>
  <si>
    <t>C.T. RTVE País Vasco</t>
  </si>
  <si>
    <t>L02-13</t>
  </si>
  <si>
    <t>C.E. OM ZUBIETA</t>
  </si>
  <si>
    <t>L02-14</t>
  </si>
  <si>
    <t>C.T. RNE País Vasco</t>
  </si>
  <si>
    <t>L02-15</t>
  </si>
  <si>
    <t>U.I. RTVE San Sebastián</t>
  </si>
  <si>
    <t>LOTE-03</t>
  </si>
  <si>
    <t>MADRID</t>
  </si>
  <si>
    <t>L03-01</t>
  </si>
  <si>
    <t>TRANSFORMACIÓN FONDOS DIGITALES</t>
  </si>
  <si>
    <t>L03-02</t>
  </si>
  <si>
    <t>DIGTALIZACIÓN</t>
  </si>
  <si>
    <t>L03-03</t>
  </si>
  <si>
    <t>CASA DE LA RADIO</t>
  </si>
  <si>
    <t>L03-04</t>
  </si>
  <si>
    <t>EE.4-5-6 Y CONTROL CENTRAL</t>
  </si>
  <si>
    <t>L03-05</t>
  </si>
  <si>
    <t>EDIFICIO TVE EE.1-2-3 Y CORONA</t>
  </si>
  <si>
    <t>L03-06</t>
  </si>
  <si>
    <t>CONTROL ACCESOS</t>
  </si>
  <si>
    <t>L03-07</t>
  </si>
  <si>
    <t>SERVICIOS MEDICOS</t>
  </si>
  <si>
    <t>L03-08</t>
  </si>
  <si>
    <t>AA.SS.-COMEDORES</t>
  </si>
  <si>
    <t>L03-09</t>
  </si>
  <si>
    <t>EDIFICIO PRADO DEL REY (EPR)</t>
  </si>
  <si>
    <t>LOTE-04</t>
  </si>
  <si>
    <t>L04-01</t>
  </si>
  <si>
    <t>TORRESPAÑA EDIFICIO A</t>
  </si>
  <si>
    <t>L04-02</t>
  </si>
  <si>
    <t>TORRESPAÑA EDIFICIO B</t>
  </si>
  <si>
    <t>L04-03</t>
  </si>
  <si>
    <t>TORRESPAÑA EDIFICIO C</t>
  </si>
  <si>
    <t>L04-04</t>
  </si>
  <si>
    <t>INSTITUTO RTVE EDIFICIO DOCENTE</t>
  </si>
  <si>
    <t>L04-05</t>
  </si>
  <si>
    <t>INSTITUTO RTVE EDIFICIO COROS</t>
  </si>
  <si>
    <t>L04-06</t>
  </si>
  <si>
    <t>C.E. OM MAJADAHONDA</t>
  </si>
  <si>
    <t>L04-07</t>
  </si>
  <si>
    <t>S.U. Madrid (San Anastasio)</t>
  </si>
  <si>
    <t>L04-08</t>
  </si>
  <si>
    <t>S.U. Madrid (Enrique Larreta)</t>
  </si>
  <si>
    <t>LOTE-05</t>
  </si>
  <si>
    <t>VALENCIA</t>
  </si>
  <si>
    <t>L05-01</t>
  </si>
  <si>
    <t>C.E. FM PICAYO</t>
  </si>
  <si>
    <t>L05-02</t>
  </si>
  <si>
    <t>C.T. RNE Valencia</t>
  </si>
  <si>
    <t>L05-03</t>
  </si>
  <si>
    <t>C.T. TVE Valencia</t>
  </si>
  <si>
    <t>L05-04</t>
  </si>
  <si>
    <t>S.U. Elche</t>
  </si>
  <si>
    <t>L05-05</t>
  </si>
  <si>
    <t>U.I. RTVE Castellón</t>
  </si>
  <si>
    <t>CASTILLA LA MANCHA</t>
  </si>
  <si>
    <t>L05-06</t>
  </si>
  <si>
    <t>C.E. OM ALMAGRO</t>
  </si>
  <si>
    <t>L05-07</t>
  </si>
  <si>
    <t xml:space="preserve"> A + C</t>
  </si>
  <si>
    <t>C.E. OM NOBLEJAS</t>
  </si>
  <si>
    <t>L05-08</t>
  </si>
  <si>
    <t>C.E. TALAVERA</t>
  </si>
  <si>
    <t>L05-09</t>
  </si>
  <si>
    <t>C.T. RTVE Toledo</t>
  </si>
  <si>
    <t>L05-10</t>
  </si>
  <si>
    <t>U.I. RTVE Cuenca</t>
  </si>
  <si>
    <t>L05-11</t>
  </si>
  <si>
    <t>U.I. RTVE Albacete</t>
  </si>
  <si>
    <t>L05-12</t>
  </si>
  <si>
    <t>D.I. RTVE Talavera de la Reina</t>
  </si>
  <si>
    <t>ILLES BALEARS</t>
  </si>
  <si>
    <t>L05-13</t>
  </si>
  <si>
    <t>C.E. OM MARRATXÍ</t>
  </si>
  <si>
    <t>L05-14</t>
  </si>
  <si>
    <t>C.T. RTVE Islas Baleares</t>
  </si>
  <si>
    <t>L05-15</t>
  </si>
  <si>
    <t>D.I. RTVE Ibiza</t>
  </si>
  <si>
    <t>MURCIA</t>
  </si>
  <si>
    <t>L05-16</t>
  </si>
  <si>
    <t>C.T. RTVE Murcia</t>
  </si>
  <si>
    <t>L05-17</t>
  </si>
  <si>
    <t>U.I. RTVE Cartagena</t>
  </si>
  <si>
    <t>L05-18</t>
  </si>
  <si>
    <t>S.U. Murcia (La Olma)</t>
  </si>
  <si>
    <t>LOTE-06</t>
  </si>
  <si>
    <t>CANTABRIA</t>
  </si>
  <si>
    <t>L06-01</t>
  </si>
  <si>
    <t>C.E. FM SANTANDER</t>
  </si>
  <si>
    <t>L06-02</t>
  </si>
  <si>
    <t>C.T. RTVE Santander</t>
  </si>
  <si>
    <t>L06-03</t>
  </si>
  <si>
    <t>S.U. Santander (Vargas)</t>
  </si>
  <si>
    <t>L06-04</t>
  </si>
  <si>
    <t>S.U. Torrelavega</t>
  </si>
  <si>
    <t>CASTILLA LEÓN</t>
  </si>
  <si>
    <t>L06-05</t>
  </si>
  <si>
    <t>C.E. SAN CRISTOBAL</t>
  </si>
  <si>
    <t>L06-06</t>
  </si>
  <si>
    <t>C.T. TVE Valladolid</t>
  </si>
  <si>
    <t>L06-07</t>
  </si>
  <si>
    <t>U.I. RTVE Soria</t>
  </si>
  <si>
    <t>L06-08</t>
  </si>
  <si>
    <t>U.I. RTVE Ponferrada</t>
  </si>
  <si>
    <t>L06-09</t>
  </si>
  <si>
    <t>U.I. RTVE Ávila</t>
  </si>
  <si>
    <t>L06-10</t>
  </si>
  <si>
    <t>U.I. RTVE Burgos</t>
  </si>
  <si>
    <t>L06-11</t>
  </si>
  <si>
    <t>U.I. RTVE León</t>
  </si>
  <si>
    <t>L06-12</t>
  </si>
  <si>
    <t>U.I. RTVE Salamanca</t>
  </si>
  <si>
    <t>L06-13</t>
  </si>
  <si>
    <t>C.T. RNE Castilla y León</t>
  </si>
  <si>
    <t>L06-14</t>
  </si>
  <si>
    <t>U.I. RTVE Zamora</t>
  </si>
  <si>
    <t>P. DE ASTURIAS</t>
  </si>
  <si>
    <t>L06-15</t>
  </si>
  <si>
    <t>C.E. FM y OM NARANCO</t>
  </si>
  <si>
    <t>L06-16</t>
  </si>
  <si>
    <t>C.T. RTVE Asturias</t>
  </si>
  <si>
    <t>LOTE-07</t>
  </si>
  <si>
    <t>CATALUÑA</t>
  </si>
  <si>
    <t>L07-01</t>
  </si>
  <si>
    <t>C.T. RNE BARCELONA</t>
  </si>
  <si>
    <t>L07-02</t>
  </si>
  <si>
    <t>C.E. OM PALAU DE PLEGAMANS</t>
  </si>
  <si>
    <t>L07-03</t>
  </si>
  <si>
    <t>C.P. Sant Cugat TALLERES Y ALMACÉN</t>
  </si>
  <si>
    <t>L07-04</t>
  </si>
  <si>
    <t>C.P. Sant Cugat UUMM</t>
  </si>
  <si>
    <t>L07-05</t>
  </si>
  <si>
    <t>C.P. Sant Cugat BLOQUE OFICINAS</t>
  </si>
  <si>
    <t>L07-06</t>
  </si>
  <si>
    <t>C.P. Sant Cugat BLOQUE TÉCNICO</t>
  </si>
  <si>
    <t>L07-07</t>
  </si>
  <si>
    <t>C.P. Sant Cugat EE 1 Y 2, CC Y PREMONTAJE</t>
  </si>
  <si>
    <t>L07-08</t>
  </si>
  <si>
    <t>C.P. Sant Cugat EE 3 Y 4, CC Y PREMONTAJE</t>
  </si>
  <si>
    <t>L07-09</t>
  </si>
  <si>
    <t>C.P. Sant Cugat EE 5 Y 6, CC Y PREMONTAJE</t>
  </si>
  <si>
    <t>L07-10</t>
  </si>
  <si>
    <t>C.P. Sant Cugat MODULO CENTRAL</t>
  </si>
  <si>
    <t>L07-11</t>
  </si>
  <si>
    <t>C.E. OM REUS</t>
  </si>
  <si>
    <t>L07-12</t>
  </si>
  <si>
    <t>S.U Girona (Xavier Cugat)</t>
  </si>
  <si>
    <t>L07-13</t>
  </si>
  <si>
    <t>U.I. RTVE Girona</t>
  </si>
  <si>
    <t>L07-14</t>
  </si>
  <si>
    <t>S.U. Seu d´Urgell</t>
  </si>
  <si>
    <t>L07-15</t>
  </si>
  <si>
    <t>U.I. RTVE Lleida</t>
  </si>
  <si>
    <t>L07-16</t>
  </si>
  <si>
    <t>U.I. TVE Tarragona</t>
  </si>
  <si>
    <t>LOTE-08</t>
  </si>
  <si>
    <t>GALICIA</t>
  </si>
  <si>
    <t>L08-01</t>
  </si>
  <si>
    <t>C.E. OM PASTORIZA - CORUÑA</t>
  </si>
  <si>
    <t>L08-02</t>
  </si>
  <si>
    <t>C.E. FM MONTE XALO</t>
  </si>
  <si>
    <t>L08-03</t>
  </si>
  <si>
    <t>C.E. OM MESÓN DEL VIENTO</t>
  </si>
  <si>
    <t>L08-04</t>
  </si>
  <si>
    <t>C.E. OM ARIEIRAS</t>
  </si>
  <si>
    <t>L08-05</t>
  </si>
  <si>
    <t>C.E. OM PEREIRO</t>
  </si>
  <si>
    <t>L08-06</t>
  </si>
  <si>
    <t>C.E. OM PASTORIZA - MARIN</t>
  </si>
  <si>
    <t>L08-07</t>
  </si>
  <si>
    <t>C.T. RTVE Santiago</t>
  </si>
  <si>
    <t>L08-08</t>
  </si>
  <si>
    <t>C.T. RNE Galicia</t>
  </si>
  <si>
    <t>L08-09</t>
  </si>
  <si>
    <t>S.U. Monforte de Lemos</t>
  </si>
  <si>
    <t>L08-10</t>
  </si>
  <si>
    <t>U.I. RTVE Lugo</t>
  </si>
  <si>
    <t>L08-11</t>
  </si>
  <si>
    <t>U.I. RTVE Orense</t>
  </si>
  <si>
    <t>L08-12</t>
  </si>
  <si>
    <t>S.U. Vigo (Venezuela)</t>
  </si>
  <si>
    <t>L08-13</t>
  </si>
  <si>
    <t>U.I. RTVE Pontevedra</t>
  </si>
  <si>
    <t>LOTE-09</t>
  </si>
  <si>
    <t>ISLAS CANARIAS</t>
  </si>
  <si>
    <t>L09-01</t>
  </si>
  <si>
    <t>C.E. OM LAS MESAS DE GALAZ</t>
  </si>
  <si>
    <t>L09-02</t>
  </si>
  <si>
    <t>C.P. RTVE Canarias</t>
  </si>
  <si>
    <t>L09-03</t>
  </si>
  <si>
    <t>C.T. TVE Tenerife</t>
  </si>
  <si>
    <t>L09-04</t>
  </si>
  <si>
    <t>D.I. RTVE Santa Cruz de La Palma</t>
  </si>
  <si>
    <t>L09-05</t>
  </si>
  <si>
    <t>C.T. RNE Tenerife</t>
  </si>
  <si>
    <t>TOTAL L02</t>
  </si>
  <si>
    <t>TOTAL L03</t>
  </si>
  <si>
    <t>TOTAL L04</t>
  </si>
  <si>
    <t>TOTAL L05</t>
  </si>
  <si>
    <t>TOTAL L06</t>
  </si>
  <si>
    <t>TOTAL L07</t>
  </si>
  <si>
    <t>TOTAL L08</t>
  </si>
  <si>
    <t>TOTAL L09</t>
  </si>
  <si>
    <t>SEDES INMUEBLES</t>
  </si>
  <si>
    <t>ACTUACIONES BÁSICAS (A.B)</t>
  </si>
  <si>
    <t>% POR A.B</t>
  </si>
  <si>
    <t>(plazo de 2 meses)</t>
  </si>
  <si>
    <t>Las Mesas de Galaz</t>
  </si>
  <si>
    <t>Registro en la Comunidad Autónoma o en el MITECO del Informe Final</t>
  </si>
  <si>
    <t>Barrio Feria del Atlántico, Av. Escaleritas, 300-334</t>
  </si>
  <si>
    <t>Avda. Buenos Aires, 69</t>
  </si>
  <si>
    <t>imp.medio</t>
  </si>
  <si>
    <t>imp.máx.</t>
  </si>
  <si>
    <t>imp.min.</t>
  </si>
  <si>
    <t>chck total</t>
  </si>
  <si>
    <t>check total</t>
  </si>
  <si>
    <t>check fase 1</t>
  </si>
  <si>
    <t>check fase 3</t>
  </si>
  <si>
    <t>check fase 2</t>
  </si>
  <si>
    <t>check fase 4</t>
  </si>
  <si>
    <t>check fase 5</t>
  </si>
  <si>
    <t>ANEXO I: DESGLOSE PRECIO LOTE 9</t>
  </si>
  <si>
    <t>RELACIÓN
% s/LOTE</t>
  </si>
  <si>
    <t>CC.AA./ C-A DIRECCIÓN</t>
  </si>
  <si>
    <t>IMPORTE
POR A.B</t>
  </si>
  <si>
    <t>VALOR ESTIMADO MAXIMO</t>
  </si>
  <si>
    <t>% descto. ofertado</t>
  </si>
  <si>
    <t>dscto medio</t>
  </si>
  <si>
    <t>Importe 
oferta</t>
  </si>
  <si>
    <t xml:space="preserve">“A.T. para redacción de auditorías energéticas 
 </t>
  </si>
  <si>
    <t>y certificados energéticos de SEDES CRTVE"</t>
  </si>
  <si>
    <t>CHECK DETALLE 
LOTE POR SEDE</t>
  </si>
  <si>
    <t>horquilla max-min</t>
  </si>
  <si>
    <t>mx lote</t>
  </si>
  <si>
    <t>.</t>
  </si>
  <si>
    <t>TOTALES</t>
  </si>
  <si>
    <t>CC.AA./C-A  DIRECCIÓN</t>
  </si>
  <si>
    <t>SEDES/INMUEBLES</t>
  </si>
  <si>
    <t>RELACIÓN</t>
  </si>
  <si>
    <t>% s/LOTE</t>
  </si>
  <si>
    <t>POR A.B</t>
  </si>
  <si>
    <t>UNITARIO</t>
  </si>
  <si>
    <t>SEDE</t>
  </si>
  <si>
    <t xml:space="preserve">LOTE-01 </t>
  </si>
  <si>
    <t>(plazo de 4 meses)</t>
  </si>
  <si>
    <t>ANDALUCÍA</t>
  </si>
  <si>
    <t>Carretera  Sabinal nº s/n Las Marinas  04740</t>
  </si>
  <si>
    <t>Aldea Cano/ Las Agujuelas</t>
  </si>
  <si>
    <t>CC.AA./C-A DIRECCIÓN</t>
  </si>
  <si>
    <t>Camino Real del Campillo. La Muela (Bº Jorgit)</t>
  </si>
  <si>
    <t>Torrero</t>
  </si>
  <si>
    <t>Sub-Edificio Dinamiza 3-B. Av. Pablo Ruiz de Picasso</t>
  </si>
  <si>
    <t>Calle  Albareda 1 Planta 3ª y 4ª  50004</t>
  </si>
  <si>
    <t>Calle  José Gil Cavez 1   22005</t>
  </si>
  <si>
    <t>Calle  Nueva 1 Planta 3ª. Plaza Carlos Castell, 15  44001</t>
  </si>
  <si>
    <t>C/. Aoiz, 17</t>
  </si>
  <si>
    <t>Calle  Abejeras 3 Plta. 1ª, Pta. Dcha  31007</t>
  </si>
  <si>
    <t>La Grajera</t>
  </si>
  <si>
    <t>Moncalvillo</t>
  </si>
  <si>
    <t>Cº  Canicalejo s/n Los Viveros. Varea.  26006</t>
  </si>
  <si>
    <t>Licenciado Poza 15, Planta 5ª, 6ª, 7ª y 8ª</t>
  </si>
  <si>
    <t>Zubieta</t>
  </si>
  <si>
    <t>Plaza  Simón Bolivar 13 1ª Planta  01003</t>
  </si>
  <si>
    <t>Pº de los Fueros 2 Loc. 3, Plta. B., Entreplanta y 1º  20005</t>
  </si>
  <si>
    <t>(plazo de 3 meses)</t>
  </si>
  <si>
    <t>Avda. Radio Televisión, 4 (Pozuelo de Alarcón)</t>
  </si>
  <si>
    <t>DIGITALIZACIÓN</t>
  </si>
  <si>
    <t>C/ O'Donnell, 77</t>
  </si>
  <si>
    <t xml:space="preserve">TORRESPAÑA EDIFICIO B </t>
  </si>
  <si>
    <t>Ctra. Dehesa Villa, s/n</t>
  </si>
  <si>
    <t>Majadahonda/Las Rozas</t>
  </si>
  <si>
    <t>Calle  San Anastasio 2 Plta. Baja 1 28005</t>
  </si>
  <si>
    <t>Calle  Enrique Larreta 12 Plta. Baja 1 28036</t>
  </si>
  <si>
    <t>Picayo</t>
  </si>
  <si>
    <t>C/. Colón, 13, Plantas 3ª y 4ª.</t>
  </si>
  <si>
    <t>Calle  Charles Robert Darwin    46980</t>
  </si>
  <si>
    <t>Avenida  Juan Carlos I 37   03202</t>
  </si>
  <si>
    <t>Paseo  Ribalta 5 Plta. Entresuelo 5, 6 y 7 12001</t>
  </si>
  <si>
    <t>Almagro</t>
  </si>
  <si>
    <t>Noblejas</t>
  </si>
  <si>
    <t>Talavera de la Reina</t>
  </si>
  <si>
    <t>Pº de San Eugenio, 23, Camino del Cementerio</t>
  </si>
  <si>
    <t>Calle  Radio Nacional de España 2   16003</t>
  </si>
  <si>
    <t>Calle  Ntra. Sra. Araceli 1 Pl. Baja B  02001</t>
  </si>
  <si>
    <t>Ronda  Cañillo 35 12º B y C  45600</t>
  </si>
  <si>
    <t>Marratxí</t>
  </si>
  <si>
    <t>Aragón, 26, 1º A, B y C; y 2ºC</t>
  </si>
  <si>
    <t>Calle  Extremadura 14 1º-2  07800</t>
  </si>
  <si>
    <t>C/ Navegante Juan Fernández, 5</t>
  </si>
  <si>
    <t>Paseo  Alfonso XIII 51   30203</t>
  </si>
  <si>
    <t>C/  La Olma 27, 29 y 31 Piso plta. 1ºB, C y D y loc.; Ed Venus  30005</t>
  </si>
  <si>
    <t>Rostrio</t>
  </si>
  <si>
    <t>Polígono de Raos, s/n</t>
  </si>
  <si>
    <t>Calle  Vargas 49 Plta. Entl  39010</t>
  </si>
  <si>
    <t>Avenida  Besaya 1 Plantas 4ª y 5ª  39300</t>
  </si>
  <si>
    <t>San Cristóbal</t>
  </si>
  <si>
    <t>Colegio D. Juan de Austria</t>
  </si>
  <si>
    <t>Calle  Campo 5 5ª Planta  42001</t>
  </si>
  <si>
    <t>Calle  Ave María 9 2º Izda. Y Dcha  24402</t>
  </si>
  <si>
    <t>Calle  Santa Clara 2 Bajo  05001</t>
  </si>
  <si>
    <t>Barrio Gimeno 11 Plta. Baja  09001</t>
  </si>
  <si>
    <t>Avenida  Ordoño II 28 Pl. 1º drcha.-izda  24001</t>
  </si>
  <si>
    <t>Paseo  Gran Capitán 8, 2-10 (local 4), plta. Baja  37006</t>
  </si>
  <si>
    <t>Paseo  Hospital Militar 29 Plta. Baja (antes García Morato)   47007</t>
  </si>
  <si>
    <t>Avenida  Requejo 21 2ª Planta  49012</t>
  </si>
  <si>
    <t>Naranco</t>
  </si>
  <si>
    <t>S. Esteban de las Cruces, Km. 4</t>
  </si>
  <si>
    <t>C/Roc Boronat, 129-131</t>
  </si>
  <si>
    <t>Palau de Plegaman</t>
  </si>
  <si>
    <t>Mercé Viralet, s/n</t>
  </si>
  <si>
    <t>Reus</t>
  </si>
  <si>
    <t>Rambla  Xabier Cugat 30 Pl. baja. Rambla Antoni Vares Martinell 14, pl. baja  17007</t>
  </si>
  <si>
    <t>Calle  Marqués de Camps 16 Plta. Entresuelo  17001</t>
  </si>
  <si>
    <t>Paseo  del Parc 92 Planta Baja  25700</t>
  </si>
  <si>
    <t>Calle  Lluis Companys 1 Planta 9  25003</t>
  </si>
  <si>
    <t>Avenida  President Lluis Companys 12 Pl. -2  C4 43350</t>
  </si>
  <si>
    <t>Pastoriza-Coruña</t>
  </si>
  <si>
    <t>Monte Xalo</t>
  </si>
  <si>
    <t>Mesón del Viento</t>
  </si>
  <si>
    <t>C.E. OM MESÓN  DEL VIENTO</t>
  </si>
  <si>
    <t>Arieiras-Fontao</t>
  </si>
  <si>
    <t>Pereiro</t>
  </si>
  <si>
    <t>Pastoriza-Marín</t>
  </si>
  <si>
    <t>San Marcos Bando</t>
  </si>
  <si>
    <t>Calle  Jardines Méndez Núñez s/n Edificio La Terraza  15003</t>
  </si>
  <si>
    <t>Calle  Sarriá 21 Plantas 3ª y 4ª  27400</t>
  </si>
  <si>
    <t>Calle  Orense 63 Plta. 6  27004</t>
  </si>
  <si>
    <t>Calle  do Progreso 115   32003</t>
  </si>
  <si>
    <t>Calle  Venezuela 4 Bajo  36203</t>
  </si>
  <si>
    <t>Calle  Lepanto 7-9 Bajo  36001</t>
  </si>
  <si>
    <t>Plaza  Constitución 4 7º  38700</t>
  </si>
  <si>
    <t>Calle  San Martín 1   38001</t>
  </si>
  <si>
    <t>TOTALES LOTES V.E.</t>
  </si>
  <si>
    <t>LOTE-99</t>
  </si>
  <si>
    <t>IMPORTE ofertado 
POR SEDE</t>
  </si>
  <si>
    <t>ANEXO I: DESGLOSE PRECIO LOTE 1</t>
  </si>
  <si>
    <t>LOTE-01</t>
  </si>
  <si>
    <t>ANEXO I: DESGLOSE PRECIO LOTE 2</t>
  </si>
  <si>
    <t>ARAGON</t>
  </si>
  <si>
    <t>ANEXO I: DESGLOSE PRECIO LOTE 3</t>
  </si>
  <si>
    <t>ANEXO I: DESGLOSE PRECIO LOTE 4</t>
  </si>
  <si>
    <t>ANEXO I: DESGLOSE PRECIO LOTE 5</t>
  </si>
  <si>
    <t>_</t>
  </si>
  <si>
    <t>ANEXO I: DESGLOSE PRECIO LOTE 6</t>
  </si>
  <si>
    <t>ANEXO I: DESGLOSE PRECIO LOTE 7</t>
  </si>
  <si>
    <t>ANEXO I: DESGLOSE PRECIO LOTE 8</t>
  </si>
  <si>
    <t>(plazo de2 meses)</t>
  </si>
  <si>
    <t>TOTAL OFERTADO 
POR LOTE</t>
  </si>
  <si>
    <t>ILLES BALLEARS</t>
  </si>
  <si>
    <t>sumat.</t>
  </si>
  <si>
    <t>1)</t>
  </si>
  <si>
    <t>2)</t>
  </si>
  <si>
    <t>3)</t>
  </si>
  <si>
    <t>4)</t>
  </si>
  <si>
    <t xml:space="preserve">IMPORTANTE: SI SE DESEA OFERTAR MÁS DE UN LOTE SE REPETIRAN PASOS 1) y 2) HASTA HABER OFERTADO TODOS LOS LOTES </t>
  </si>
  <si>
    <t>COMPLETAR DATOS (Anx I pg 1 oferta)  Y SOBRE TODO EL CAMPO "Fdo."</t>
  </si>
  <si>
    <t>DEBEN SEGUIRSE 4 PASOS PARA OBTENER LA OFERTA CON ESTE FICHERO EXCEL</t>
  </si>
  <si>
    <t>GRAFICAMENTE, SE REPASAN LAS FASES (se toma como ejemplo el LOTE 9 - CANARIAS)</t>
  </si>
  <si>
    <t>Desglose 1</t>
  </si>
  <si>
    <t>Desglose 2</t>
  </si>
  <si>
    <t>Y UNOS MENSAJES DE CHEQUEO  A LA DERECHA QUE SE IRAN MODIFICANDO SEGÚN SE COMPLETEN LAS CELDAS EN AMARILLO</t>
  </si>
  <si>
    <t>y, automáticamente, se completa el detalle de importes por Actividades en Desglose 1</t>
  </si>
  <si>
    <t xml:space="preserve">Con el nuevo total ofertado, los importes máximos admitidos por sede son inferiores a los inicialmente propuestos. </t>
  </si>
  <si>
    <t>Deben revisarse los importes ofertados en Desglose 2 porque superarán los importes admitidos, según avisa el check a la derecha</t>
  </si>
  <si>
    <t>Accediendo a solapa "Anx I pg 1 oferta" se han completado los datos del lote ofertado.</t>
  </si>
  <si>
    <t>AL OFERTAR UN IMPORTE TOTAL DEL LOTE SE DESPLIEGA UNA LISTA DE OPCIONES DE IMPORTES VÁLIDOS PARA CADA SEDE</t>
  </si>
  <si>
    <t>Cumplimentados los datos del licitador, vemos un AVISO EN ROJO antes de campo "Fdo."</t>
  </si>
  <si>
    <t>QUE DESAPARECE CUANDO INTRODUCIMOS EL NOMBRE DEL FIRMANTE</t>
  </si>
  <si>
    <t>tambien han desaparecido los importes maximo - medio - minimo del detalle de sedes en Desglose 2</t>
  </si>
  <si>
    <t>y podemos obtener la oferta en PDF para su firma</t>
  </si>
  <si>
    <t>al seleccionar en barra de tareas</t>
  </si>
  <si>
    <t>e imprimir</t>
  </si>
  <si>
    <t>Previsualizamos la pg 1 de la oferta</t>
  </si>
  <si>
    <t>y después de imprimirla se procede igual en la/s página/s de cada lote ofertado</t>
  </si>
  <si>
    <t>Desglose 3</t>
  </si>
  <si>
    <t>NOTA IMPORTANTE: 
ESTE DESGLOSE  SE PRESENTARA FIRMADO EN FORMATO PDF</t>
  </si>
  <si>
    <t>% ofertado 
s/Lote (4 decim.)</t>
  </si>
  <si>
    <t>% ofertado 
(4 decim.)</t>
  </si>
  <si>
    <t>DESGLOSE DE IMPORTES OFERTADOS POR SEDE</t>
  </si>
  <si>
    <t>DETALLE DE IMPORTES OFERTADOS POR SEDE Y FASES ACTUACIONES BASICAS</t>
  </si>
  <si>
    <t>NO SE INTRODUCIRA NINGUN IMPORTE EN "Anx I pg 1 oferta", todos se obtienen por cálculo automático</t>
  </si>
  <si>
    <t>NO SE INTRODUCIRA NINGUN IMPORTE TABLA "Desglose 3" de cada lote, todos se obtienen por cálculo automático</t>
  </si>
  <si>
    <t>OFERTAR EL IMPORTE TOTAL DEL LOTE SELECCIONADO (Tabla DESGLOSE 1)</t>
  </si>
  <si>
    <t>OFERTAR EL DETALLE INDIVIDUAL DE SEDES DEL LOTE (Tabla DESGLOSE 2)</t>
  </si>
  <si>
    <r>
      <t xml:space="preserve">OFERTAR EL IMPORTE TOTAL DEL LOTE SELECCIONADO </t>
    </r>
    <r>
      <rPr>
        <b/>
        <sz val="14"/>
        <color rgb="FFFF0000"/>
        <rFont val="Calibri"/>
        <family val="2"/>
        <scheme val="minor"/>
      </rPr>
      <t>(Tabla DESGLOSE 1)</t>
    </r>
  </si>
  <si>
    <r>
      <t xml:space="preserve">OFERTAR EL DETALLE INDIVIDUAL DE SEDES DEL LOTE </t>
    </r>
    <r>
      <rPr>
        <b/>
        <sz val="14"/>
        <color rgb="FFFF0000"/>
        <rFont val="Calibri"/>
        <family val="2"/>
        <scheme val="minor"/>
      </rPr>
      <t>(Tabla DESGLOSE 2)</t>
    </r>
  </si>
  <si>
    <t>__0b</t>
  </si>
  <si>
    <t>DATOS CENTROS - PCAP 3</t>
  </si>
  <si>
    <t>__0a</t>
  </si>
  <si>
    <t>de la columna "IMPORTE ofertado" no son correctos</t>
  </si>
  <si>
    <t xml:space="preserve">Si se oferta un importe por encima o por debajo de los valores propuestos en rojo, el check avisará sobre el importe ofertado y cual es la cantidad mínima o máxima admitida </t>
  </si>
  <si>
    <t xml:space="preserve">El desglose 1 en columna "Actuaciones Básicas" informa del error "Debe revisar Desglose 2 IMPORTE ofertado POR SEDE" (cuadro anterior) </t>
  </si>
  <si>
    <t>MUY IMPORTANTE</t>
  </si>
  <si>
    <t>AUNQUE "PARECE" QUE HAY DOS DECIMALES, CAMBIANDO EL FORMATO DEL CAMPO TOTAL OFERTA LOTE VEMOS QUE, EN REALIDAD, SE HAN OFERTADO 3 DECIMALES</t>
  </si>
  <si>
    <r>
      <t xml:space="preserve">Es conveniente introducir </t>
    </r>
    <r>
      <rPr>
        <b/>
        <u/>
        <sz val="11"/>
        <color rgb="FFFF0000"/>
        <rFont val="Calibri"/>
        <family val="2"/>
        <scheme val="minor"/>
      </rPr>
      <t>manualmente</t>
    </r>
    <r>
      <rPr>
        <sz val="11"/>
        <color theme="1"/>
        <rFont val="Calibri"/>
        <family val="2"/>
        <scheme val="minor"/>
      </rPr>
      <t xml:space="preserve"> todos los datos ofertados, se evitarán este tipo de errores y mensajes de aviso</t>
    </r>
  </si>
  <si>
    <r>
      <t xml:space="preserve">DEBEMOS PROCEDER ASI HASTA QUE HAYAMOS COMPLETADO EL DETALLE DE </t>
    </r>
    <r>
      <rPr>
        <b/>
        <u/>
        <sz val="11"/>
        <color rgb="FFFF0000"/>
        <rFont val="Calibri"/>
        <family val="2"/>
        <scheme val="minor"/>
      </rPr>
      <t>TODOS LOS LOTES QUE DESEAMOS OFERTAR</t>
    </r>
    <r>
      <rPr>
        <b/>
        <sz val="11"/>
        <color rgb="FFFF0000"/>
        <rFont val="Calibri"/>
        <family val="2"/>
        <scheme val="minor"/>
      </rPr>
      <t>.</t>
    </r>
  </si>
  <si>
    <t>UNA VEZ COMPLETADOS TODOS LOS LOTES A OFERTAR CONTINUAMOS EN PASO 3)</t>
  </si>
  <si>
    <t xml:space="preserve">CUALQUIER ERROR EN TABLA DESGLOSE 1 SE DETALLA TAMBIÉN EN LA PAG.1 DE RESUMEN DE IMPORTES OFIERTADOS POR LOTES. </t>
  </si>
  <si>
    <t>Es imprescindible respetar este orden para obtener los resultados esperados.</t>
  </si>
  <si>
    <t xml:space="preserve">PASO 5: </t>
  </si>
  <si>
    <t xml:space="preserve">PRESENTAR OFERTA FIRMADA EN EXCEL EN CADA UNO DE LOS LOTES OFERTADOS (pag.1 + desglose precio del lote) </t>
  </si>
  <si>
    <r>
      <t xml:space="preserve">y, </t>
    </r>
    <r>
      <rPr>
        <b/>
        <u/>
        <sz val="14"/>
        <color theme="1"/>
        <rFont val="Calibri"/>
        <family val="2"/>
        <scheme val="minor"/>
      </rPr>
      <t>OBLIGATORIAMENTE</t>
    </r>
    <r>
      <rPr>
        <b/>
        <sz val="14"/>
        <color theme="1"/>
        <rFont val="Calibri"/>
        <family val="2"/>
        <scheme val="minor"/>
      </rPr>
      <t xml:space="preserve"> este fichero </t>
    </r>
    <r>
      <rPr>
        <b/>
        <u/>
        <sz val="14"/>
        <color theme="1"/>
        <rFont val="Calibri"/>
        <family val="2"/>
        <scheme val="minor"/>
      </rPr>
      <t>EXCEL CUMPLIMENTADO</t>
    </r>
  </si>
  <si>
    <r>
      <t>El importe de la</t>
    </r>
    <r>
      <rPr>
        <b/>
        <sz val="11"/>
        <color theme="1"/>
        <rFont val="Calibri"/>
        <family val="2"/>
        <scheme val="minor"/>
      </rPr>
      <t xml:space="preserve"> sede de mayor ponderación</t>
    </r>
    <r>
      <rPr>
        <sz val="11"/>
        <color theme="1"/>
        <rFont val="Calibri"/>
        <family val="2"/>
        <scheme val="minor"/>
      </rPr>
      <t xml:space="preserve"> en el lote </t>
    </r>
    <r>
      <rPr>
        <b/>
        <u/>
        <sz val="11"/>
        <color theme="1"/>
        <rFont val="Calibri"/>
        <family val="2"/>
        <scheme val="minor"/>
      </rPr>
      <t>se cumplimenta autómaticamente</t>
    </r>
    <r>
      <rPr>
        <sz val="11"/>
        <color theme="1"/>
        <rFont val="Calibri"/>
        <family val="2"/>
        <scheme val="minor"/>
      </rPr>
      <t xml:space="preserve"> con el total ofertado por el licitador</t>
    </r>
  </si>
  <si>
    <r>
      <t xml:space="preserve">La </t>
    </r>
    <r>
      <rPr>
        <b/>
        <sz val="11"/>
        <color theme="1"/>
        <rFont val="Calibri"/>
        <family val="2"/>
        <scheme val="minor"/>
      </rPr>
      <t>sede de mayor ponderación</t>
    </r>
    <r>
      <rPr>
        <sz val="11"/>
        <color theme="1"/>
        <rFont val="Calibri"/>
        <family val="2"/>
        <scheme val="minor"/>
      </rPr>
      <t xml:space="preserve"> L09-02 </t>
    </r>
    <r>
      <rPr>
        <b/>
        <u/>
        <sz val="11"/>
        <color theme="1"/>
        <rFont val="Calibri"/>
        <family val="2"/>
        <scheme val="minor"/>
      </rPr>
      <t>se reajusta automáticamente cada vez que se oferta una sede</t>
    </r>
    <r>
      <rPr>
        <sz val="11"/>
        <color theme="1"/>
        <rFont val="Calibri"/>
        <family val="2"/>
        <scheme val="minor"/>
      </rPr>
      <t>. A la derecha, el check indica el num. de sedes pendientes de ofertar</t>
    </r>
  </si>
  <si>
    <t xml:space="preserve">Mientras no se completen todos los lotes, la sede L09-02 nos avisará del error, indicando (a la derecha) que el importe máximo admitido son 4.518 € y, hasta el momento los 8.141 € </t>
  </si>
  <si>
    <t>en CT TVE Tenerife (L09-03) de siguiente ejemplo la cantidad ofertada (2.540 €) es incorrecta por ser inferior a la mínima admitida (2.544 €)</t>
  </si>
  <si>
    <t>Se admite cualquier valor siempre que esté comprendido entre el mínimo y el máximo detallados debajo de cada sede.</t>
  </si>
  <si>
    <r>
      <rPr>
        <b/>
        <sz val="11"/>
        <color theme="1"/>
        <rFont val="Calibri"/>
        <family val="2"/>
        <scheme val="minor"/>
      </rPr>
      <t>Se admiten 2 decimales pero se sugiere ofertar las sedes sin decimales</t>
    </r>
    <r>
      <rPr>
        <sz val="11"/>
        <color theme="1"/>
        <rFont val="Calibri"/>
        <family val="2"/>
        <scheme val="minor"/>
      </rPr>
      <t>, solo la de mayor ponderación incluiría decimales</t>
    </r>
  </si>
  <si>
    <t>si fueran necesarios para alcanzar el TOTAL OFERTA LOTE de tabla desglose 1.</t>
  </si>
  <si>
    <r>
      <t>Una vez ofertadas TODAS las sedes del lote con valores admitidos todas las cantidades se dan por correctas (</t>
    </r>
    <r>
      <rPr>
        <b/>
        <sz val="11"/>
        <color theme="1"/>
        <rFont val="Calibri"/>
        <family val="2"/>
        <scheme val="minor"/>
      </rPr>
      <t>ok a la derecha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</si>
  <si>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theme="1"/>
        <rFont val="Calibri"/>
        <family val="2"/>
        <scheme val="minor"/>
      </rPr>
      <t>El TOTAL OFERTA LOTE  de tabla Desglose 1 puede modificarse en cualquier momento</t>
    </r>
    <r>
      <rPr>
        <sz val="11"/>
        <color theme="1"/>
        <rFont val="Calibri"/>
        <family val="2"/>
        <scheme val="minor"/>
      </rPr>
      <t xml:space="preserve">, si después del </t>
    </r>
  </si>
  <si>
    <t>cambio los importes ofertados por sede no fueran válidos aparecería un mensaje de error</t>
  </si>
  <si>
    <t>Si reducimos el importe ofertado a la mitad (5,150) quedaría así</t>
  </si>
  <si>
    <t xml:space="preserve">El reparto de los 10,300 € introducido anteriormente no es válido, hay que revisar los importes, todos los importes </t>
  </si>
  <si>
    <t>admitidos se han visto modificados por el nuevo total ofertado</t>
  </si>
  <si>
    <t xml:space="preserve">AJUSTANDO TODOS LOS IMPORTES EL CHECK VUELVE A SER CORRECTO, Y SE COMPLETA EL DESGLOSE DE ACTUACIONES </t>
  </si>
  <si>
    <t>BASICAS (Tabla Desglose 1) con los nuevos valores calculados.</t>
  </si>
  <si>
    <r>
      <t xml:space="preserve">LOS DATOS OFERTADOS DEBEN INCLUIR UN </t>
    </r>
    <r>
      <rPr>
        <b/>
        <sz val="11"/>
        <color theme="1"/>
        <rFont val="Calibri"/>
        <family val="2"/>
        <scheme val="minor"/>
      </rPr>
      <t>MAXIMO DE DOS DECIMALES,</t>
    </r>
    <r>
      <rPr>
        <sz val="11"/>
        <color theme="1"/>
        <rFont val="Calibri"/>
        <family val="2"/>
        <scheme val="minor"/>
      </rPr>
      <t xml:space="preserve"> SI SE SUPERAN SE VERA UN MENSAJE DE ERROR </t>
    </r>
  </si>
  <si>
    <t>IMPRIMIR en pdf (Anx I pg 1 oferta) y TABLAS DESGLOSE 1 + DESGLOSE 2 DE TODOS LOS LOTES OFERTADOS.</t>
  </si>
  <si>
    <t xml:space="preserve">Las hojas están ya configuradas para su impresión directa, </t>
  </si>
  <si>
    <t>Recuerde que debe introducir en el sobre C del lote ofertado SIEMPRE 2 páginas: la pag.1 + la página con tablas Desglose 1 + Desglose 2 del lote ofertado</t>
  </si>
  <si>
    <t>MUY IMPORTANTE:</t>
  </si>
  <si>
    <r>
      <t>100,00%</t>
    </r>
    <r>
      <rPr>
        <sz val="8"/>
        <color theme="0"/>
        <rFont val="Calibri"/>
        <family val="2"/>
        <scheme val="minor"/>
      </rPr>
      <t> </t>
    </r>
  </si>
  <si>
    <r>
      <t>1.600,00</t>
    </r>
    <r>
      <rPr>
        <sz val="8"/>
        <color theme="0"/>
        <rFont val="Calibri"/>
        <family val="2"/>
        <scheme val="minor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</si>
</sst>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0.000%"/>
    <numFmt numFmtId="165" formatCode="0.0000%"/>
  </numFmts>
  <fonts count="7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i/>
      <sz val="9"/>
      <name val="Calibri"/>
      <family val="2"/>
    </font>
    <font>
      <b/>
      <sz val="12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24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6"/>
      <color rgb="FFFFFFFF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0"/>
      <name val="Arial"/>
      <family val="2"/>
    </font>
    <font>
      <b/>
      <u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sz val="6"/>
      <color theme="0"/>
      <name val="Tahoma"/>
      <family val="2"/>
    </font>
    <font>
      <b/>
      <sz val="7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/>
      <top/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 style="medium">
        <color indexed="64"/>
      </left>
      <right style="medium">
        <color rgb="FFBFBFBF"/>
      </right>
      <top style="medium">
        <color indexed="64"/>
      </top>
      <bottom/>
      <diagonal/>
    </border>
    <border>
      <left style="medium">
        <color rgb="FFBFBFBF"/>
      </left>
      <right style="medium">
        <color rgb="FFBFBFBF"/>
      </right>
      <top style="medium">
        <color indexed="64"/>
      </top>
      <bottom/>
      <diagonal/>
    </border>
    <border>
      <left style="medium">
        <color rgb="FFBFBFBF"/>
      </left>
      <right/>
      <top style="medium">
        <color indexed="64"/>
      </top>
      <bottom/>
      <diagonal/>
    </border>
    <border>
      <left/>
      <right style="medium">
        <color rgb="FFBFBFBF"/>
      </right>
      <top style="medium">
        <color indexed="64"/>
      </top>
      <bottom/>
      <diagonal/>
    </border>
    <border>
      <left style="medium">
        <color indexed="64"/>
      </left>
      <right/>
      <top style="medium">
        <color theme="0" tint="-0.14996795556505021"/>
      </top>
      <bottom style="medium">
        <color indexed="64"/>
      </bottom>
      <diagonal/>
    </border>
    <border>
      <left/>
      <right/>
      <top style="medium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medium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rgb="FFBFBFBF"/>
      </right>
      <top style="medium">
        <color indexed="64"/>
      </top>
      <bottom style="medium">
        <color theme="0" tint="-0.14996795556505021"/>
      </bottom>
      <diagonal/>
    </border>
    <border>
      <left style="medium">
        <color rgb="FFBFBFBF"/>
      </left>
      <right/>
      <top style="medium">
        <color indexed="64"/>
      </top>
      <bottom style="medium">
        <color theme="0" tint="-0.14996795556505021"/>
      </bottom>
      <diagonal/>
    </border>
    <border>
      <left/>
      <right style="medium">
        <color rgb="FFBFBFBF"/>
      </right>
      <top style="medium">
        <color indexed="64"/>
      </top>
      <bottom style="medium">
        <color theme="0" tint="-0.14996795556505021"/>
      </bottom>
      <diagonal/>
    </border>
    <border>
      <left style="medium">
        <color rgb="FFBFBFBF"/>
      </left>
      <right style="medium">
        <color rgb="FFBFBFBF"/>
      </right>
      <top style="medium">
        <color indexed="64"/>
      </top>
      <bottom style="medium">
        <color theme="0" tint="-0.14996795556505021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0" tint="-0.14996795556505021"/>
      </bottom>
      <diagonal/>
    </border>
    <border>
      <left/>
      <right style="medium">
        <color indexed="64"/>
      </right>
      <top style="medium">
        <color rgb="FFBFBFB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BFBFBF"/>
      </right>
      <top style="medium">
        <color indexed="64"/>
      </top>
      <bottom style="medium">
        <color indexed="64"/>
      </bottom>
      <diagonal/>
    </border>
    <border>
      <left style="medium">
        <color rgb="FFBFBFBF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BFBFBF"/>
      </right>
      <top style="medium">
        <color indexed="64"/>
      </top>
      <bottom style="medium">
        <color indexed="64"/>
      </bottom>
      <diagonal/>
    </border>
    <border>
      <left style="medium">
        <color rgb="FFBFBFBF"/>
      </left>
      <right style="medium">
        <color rgb="FFBFBFB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BFBFBF"/>
      </bottom>
      <diagonal/>
    </border>
    <border>
      <left style="medium">
        <color indexed="64"/>
      </left>
      <right/>
      <top style="thick">
        <color theme="0" tint="-0.14996795556505021"/>
      </top>
      <bottom style="medium">
        <color indexed="64"/>
      </bottom>
      <diagonal/>
    </border>
    <border>
      <left/>
      <right/>
      <top style="thick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thick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rgb="FFBFBFBF"/>
      </right>
      <top style="medium">
        <color indexed="64"/>
      </top>
      <bottom style="thick">
        <color theme="0" tint="-0.14996795556505021"/>
      </bottom>
      <diagonal/>
    </border>
    <border>
      <left style="medium">
        <color rgb="FFBFBFBF"/>
      </left>
      <right/>
      <top style="medium">
        <color indexed="64"/>
      </top>
      <bottom style="thick">
        <color theme="0" tint="-0.14996795556505021"/>
      </bottom>
      <diagonal/>
    </border>
    <border>
      <left/>
      <right style="medium">
        <color rgb="FFBFBFBF"/>
      </right>
      <top style="medium">
        <color indexed="64"/>
      </top>
      <bottom style="thick">
        <color theme="0" tint="-0.14996795556505021"/>
      </bottom>
      <diagonal/>
    </border>
    <border>
      <left style="medium">
        <color rgb="FFBFBFBF"/>
      </left>
      <right style="medium">
        <color rgb="FFBFBFBF"/>
      </right>
      <top style="medium">
        <color indexed="64"/>
      </top>
      <bottom style="thick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 style="thick">
        <color theme="0" tint="-0.14996795556505021"/>
      </bottom>
      <diagonal/>
    </border>
    <border>
      <left style="medium">
        <color rgb="FFBFBFBF"/>
      </left>
      <right style="medium">
        <color rgb="FFBFBFBF"/>
      </right>
      <top style="medium">
        <color indexed="64"/>
      </top>
      <bottom style="medium">
        <color rgb="FFBFBFBF"/>
      </bottom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31" fillId="0" borderId="0" applyFont="0" applyFill="0" applyBorder="0" applyAlignment="0" applyProtection="0"/>
  </cellStyleXfs>
  <cellXfs count="431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0" fillId="0" borderId="0" xfId="0" applyAlignment="1" applyProtection="1">
      <alignment horizontal="right"/>
    </xf>
    <xf numFmtId="0" fontId="12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Protection="1"/>
    <xf numFmtId="0" fontId="13" fillId="3" borderId="2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4" fontId="14" fillId="2" borderId="2" xfId="0" applyNumberFormat="1" applyFont="1" applyFill="1" applyBorder="1" applyAlignment="1" applyProtection="1">
      <alignment horizontal="right" vertical="center" indent="1"/>
    </xf>
    <xf numFmtId="9" fontId="14" fillId="0" borderId="3" xfId="0" applyNumberFormat="1" applyFont="1" applyBorder="1" applyAlignment="1" applyProtection="1">
      <alignment horizontal="right" vertical="center" indent="3"/>
    </xf>
    <xf numFmtId="0" fontId="11" fillId="0" borderId="3" xfId="0" applyFont="1" applyBorder="1" applyAlignment="1" applyProtection="1">
      <alignment vertical="center"/>
    </xf>
    <xf numFmtId="0" fontId="11" fillId="0" borderId="3" xfId="0" applyFont="1" applyBorder="1" applyAlignment="1" applyProtection="1">
      <alignment horizontal="right" vertical="center" indent="1"/>
    </xf>
    <xf numFmtId="0" fontId="14" fillId="0" borderId="2" xfId="0" applyFont="1" applyBorder="1" applyAlignment="1" applyProtection="1">
      <alignment horizontal="center" vertical="center" wrapText="1"/>
    </xf>
    <xf numFmtId="9" fontId="14" fillId="0" borderId="2" xfId="0" applyNumberFormat="1" applyFont="1" applyFill="1" applyBorder="1" applyAlignment="1" applyProtection="1">
      <alignment horizontal="right" vertical="center" indent="3"/>
    </xf>
    <xf numFmtId="4" fontId="11" fillId="2" borderId="2" xfId="0" applyNumberFormat="1" applyFont="1" applyFill="1" applyBorder="1" applyAlignment="1" applyProtection="1">
      <alignment horizontal="right" vertical="center" indent="1"/>
      <protection locked="0"/>
    </xf>
    <xf numFmtId="0" fontId="2" fillId="0" borderId="0" xfId="0" applyFont="1" applyAlignment="1" applyProtection="1">
      <alignment vertical="top" wrapText="1"/>
    </xf>
    <xf numFmtId="0" fontId="15" fillId="0" borderId="2" xfId="0" applyFont="1" applyBorder="1" applyAlignment="1">
      <alignment horizontal="left" vertical="center"/>
    </xf>
    <xf numFmtId="0" fontId="0" fillId="0" borderId="0" xfId="0" applyFont="1"/>
    <xf numFmtId="0" fontId="15" fillId="0" borderId="0" xfId="0" applyFont="1" applyFill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2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justify" vertical="top"/>
    </xf>
    <xf numFmtId="0" fontId="16" fillId="4" borderId="4" xfId="0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vertical="top"/>
    </xf>
    <xf numFmtId="0" fontId="3" fillId="0" borderId="0" xfId="0" applyFont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 vertical="center"/>
    </xf>
    <xf numFmtId="0" fontId="23" fillId="0" borderId="0" xfId="0" applyFont="1" applyProtection="1"/>
    <xf numFmtId="0" fontId="3" fillId="0" borderId="0" xfId="0" applyFont="1"/>
    <xf numFmtId="4" fontId="19" fillId="2" borderId="5" xfId="0" applyNumberFormat="1" applyFont="1" applyFill="1" applyBorder="1" applyAlignment="1" applyProtection="1">
      <alignment horizontal="right" vertical="center" indent="2"/>
    </xf>
    <xf numFmtId="4" fontId="19" fillId="2" borderId="7" xfId="0" applyNumberFormat="1" applyFont="1" applyFill="1" applyBorder="1" applyAlignment="1" applyProtection="1">
      <alignment horizontal="right" vertical="center" indent="2"/>
    </xf>
    <xf numFmtId="0" fontId="2" fillId="0" borderId="0" xfId="0" applyFont="1" applyAlignment="1" applyProtection="1">
      <alignment horizontal="center" vertical="top" wrapText="1"/>
    </xf>
    <xf numFmtId="0" fontId="3" fillId="0" borderId="0" xfId="0" applyFont="1" applyAlignment="1">
      <alignment vertical="center" wrapText="1"/>
    </xf>
    <xf numFmtId="0" fontId="3" fillId="6" borderId="21" xfId="0" applyFont="1" applyFill="1" applyBorder="1" applyAlignment="1">
      <alignment vertical="top"/>
    </xf>
    <xf numFmtId="0" fontId="21" fillId="6" borderId="20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vertical="top"/>
    </xf>
    <xf numFmtId="0" fontId="28" fillId="0" borderId="20" xfId="0" applyFont="1" applyBorder="1" applyAlignment="1">
      <alignment horizontal="left" vertical="center"/>
    </xf>
    <xf numFmtId="0" fontId="27" fillId="0" borderId="0" xfId="0" applyFont="1" applyProtection="1"/>
    <xf numFmtId="1" fontId="15" fillId="0" borderId="2" xfId="0" applyNumberFormat="1" applyFont="1" applyBorder="1" applyAlignment="1">
      <alignment horizontal="center" vertical="center"/>
    </xf>
    <xf numFmtId="4" fontId="27" fillId="0" borderId="0" xfId="0" applyNumberFormat="1" applyFont="1" applyProtection="1"/>
    <xf numFmtId="0" fontId="25" fillId="0" borderId="0" xfId="0" applyFont="1" applyAlignment="1">
      <alignment vertical="center" wrapText="1"/>
    </xf>
    <xf numFmtId="0" fontId="13" fillId="0" borderId="25" xfId="0" applyFont="1" applyBorder="1" applyAlignment="1">
      <alignment vertical="center"/>
    </xf>
    <xf numFmtId="0" fontId="29" fillId="0" borderId="9" xfId="0" applyFont="1" applyBorder="1" applyProtection="1"/>
    <xf numFmtId="0" fontId="25" fillId="0" borderId="9" xfId="0" applyFont="1" applyBorder="1" applyProtection="1"/>
    <xf numFmtId="0" fontId="25" fillId="0" borderId="10" xfId="0" applyFont="1" applyBorder="1" applyProtection="1"/>
    <xf numFmtId="0" fontId="25" fillId="0" borderId="0" xfId="0" applyFont="1" applyProtection="1"/>
    <xf numFmtId="0" fontId="25" fillId="0" borderId="27" xfId="0" applyFont="1" applyBorder="1" applyAlignment="1">
      <alignment vertical="center"/>
    </xf>
    <xf numFmtId="0" fontId="25" fillId="0" borderId="28" xfId="0" applyFont="1" applyBorder="1" applyAlignment="1">
      <alignment vertical="center"/>
    </xf>
    <xf numFmtId="0" fontId="25" fillId="0" borderId="26" xfId="0" applyFont="1" applyBorder="1" applyAlignment="1">
      <alignment horizontal="center" vertical="center"/>
    </xf>
    <xf numFmtId="0" fontId="29" fillId="0" borderId="30" xfId="0" applyFont="1" applyBorder="1" applyProtection="1"/>
    <xf numFmtId="0" fontId="25" fillId="0" borderId="30" xfId="0" applyFont="1" applyBorder="1" applyProtection="1"/>
    <xf numFmtId="0" fontId="13" fillId="0" borderId="32" xfId="0" applyFont="1" applyBorder="1" applyAlignment="1">
      <alignment vertical="center"/>
    </xf>
    <xf numFmtId="0" fontId="25" fillId="0" borderId="33" xfId="0" applyFont="1" applyBorder="1" applyAlignment="1">
      <alignment vertical="center"/>
    </xf>
    <xf numFmtId="0" fontId="25" fillId="0" borderId="34" xfId="0" applyFont="1" applyBorder="1" applyAlignment="1">
      <alignment vertical="center"/>
    </xf>
    <xf numFmtId="0" fontId="25" fillId="0" borderId="35" xfId="0" applyFont="1" applyBorder="1" applyAlignment="1">
      <alignment horizontal="center" vertical="center"/>
    </xf>
    <xf numFmtId="10" fontId="25" fillId="7" borderId="26" xfId="0" applyNumberFormat="1" applyFont="1" applyFill="1" applyBorder="1" applyAlignment="1">
      <alignment horizontal="right" vertical="center" indent="1"/>
    </xf>
    <xf numFmtId="0" fontId="25" fillId="0" borderId="30" xfId="0" applyFont="1" applyBorder="1" applyAlignment="1" applyProtection="1">
      <alignment horizontal="right" indent="1"/>
    </xf>
    <xf numFmtId="164" fontId="25" fillId="0" borderId="30" xfId="0" applyNumberFormat="1" applyFont="1" applyBorder="1" applyAlignment="1" applyProtection="1">
      <alignment horizontal="right" indent="1"/>
    </xf>
    <xf numFmtId="0" fontId="25" fillId="0" borderId="9" xfId="0" applyFont="1" applyBorder="1" applyAlignment="1" applyProtection="1">
      <alignment horizontal="right" indent="1"/>
    </xf>
    <xf numFmtId="164" fontId="25" fillId="0" borderId="9" xfId="0" applyNumberFormat="1" applyFont="1" applyBorder="1" applyAlignment="1" applyProtection="1">
      <alignment horizontal="right" indent="1"/>
    </xf>
    <xf numFmtId="0" fontId="25" fillId="0" borderId="10" xfId="0" applyFont="1" applyBorder="1" applyAlignment="1" applyProtection="1">
      <alignment horizontal="right" indent="1"/>
    </xf>
    <xf numFmtId="10" fontId="21" fillId="0" borderId="20" xfId="0" applyNumberFormat="1" applyFont="1" applyBorder="1" applyAlignment="1">
      <alignment horizontal="right" vertical="center" indent="1"/>
    </xf>
    <xf numFmtId="4" fontId="17" fillId="0" borderId="20" xfId="0" applyNumberFormat="1" applyFont="1" applyBorder="1" applyAlignment="1">
      <alignment horizontal="right" vertical="center" indent="1"/>
    </xf>
    <xf numFmtId="0" fontId="21" fillId="6" borderId="36" xfId="0" applyFont="1" applyFill="1" applyBorder="1" applyAlignment="1">
      <alignment horizontal="center" vertical="center"/>
    </xf>
    <xf numFmtId="0" fontId="21" fillId="6" borderId="23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vertical="top"/>
    </xf>
    <xf numFmtId="0" fontId="3" fillId="6" borderId="19" xfId="0" applyFont="1" applyFill="1" applyBorder="1" applyAlignment="1">
      <alignment vertical="top"/>
    </xf>
    <xf numFmtId="10" fontId="21" fillId="6" borderId="19" xfId="0" applyNumberFormat="1" applyFont="1" applyFill="1" applyBorder="1" applyAlignment="1">
      <alignment horizontal="center" vertical="center"/>
    </xf>
    <xf numFmtId="10" fontId="21" fillId="6" borderId="23" xfId="0" applyNumberFormat="1" applyFont="1" applyFill="1" applyBorder="1" applyAlignment="1">
      <alignment horizontal="center" vertical="center"/>
    </xf>
    <xf numFmtId="165" fontId="9" fillId="0" borderId="28" xfId="0" applyNumberFormat="1" applyFont="1" applyBorder="1" applyAlignment="1">
      <alignment horizontal="right" vertical="center" indent="1"/>
    </xf>
    <xf numFmtId="165" fontId="9" fillId="0" borderId="34" xfId="0" applyNumberFormat="1" applyFont="1" applyBorder="1" applyAlignment="1">
      <alignment horizontal="right" vertical="center" indent="1"/>
    </xf>
    <xf numFmtId="165" fontId="27" fillId="0" borderId="0" xfId="0" applyNumberFormat="1" applyFont="1" applyProtection="1"/>
    <xf numFmtId="0" fontId="25" fillId="6" borderId="8" xfId="0" applyFont="1" applyFill="1" applyBorder="1" applyAlignment="1">
      <alignment vertical="top"/>
    </xf>
    <xf numFmtId="0" fontId="9" fillId="6" borderId="37" xfId="0" applyFont="1" applyFill="1" applyBorder="1" applyAlignment="1">
      <alignment horizontal="center" vertical="center"/>
    </xf>
    <xf numFmtId="0" fontId="25" fillId="7" borderId="9" xfId="0" applyFont="1" applyFill="1" applyBorder="1" applyAlignment="1">
      <alignment vertical="top"/>
    </xf>
    <xf numFmtId="0" fontId="25" fillId="7" borderId="9" xfId="0" applyFont="1" applyFill="1" applyBorder="1" applyAlignment="1">
      <alignment horizontal="right" vertical="top" indent="1"/>
    </xf>
    <xf numFmtId="0" fontId="25" fillId="0" borderId="0" xfId="0" applyFont="1" applyAlignment="1" applyProtection="1">
      <alignment horizontal="left"/>
    </xf>
    <xf numFmtId="0" fontId="25" fillId="7" borderId="40" xfId="0" applyFont="1" applyFill="1" applyBorder="1" applyAlignment="1">
      <alignment horizontal="right" vertical="top" indent="1"/>
    </xf>
    <xf numFmtId="4" fontId="25" fillId="0" borderId="39" xfId="0" applyNumberFormat="1" applyFont="1" applyBorder="1" applyAlignment="1">
      <alignment horizontal="right" vertical="center" indent="1"/>
    </xf>
    <xf numFmtId="8" fontId="21" fillId="0" borderId="15" xfId="0" applyNumberFormat="1" applyFont="1" applyBorder="1" applyAlignment="1">
      <alignment horizontal="center" vertical="center" wrapText="1"/>
    </xf>
    <xf numFmtId="8" fontId="21" fillId="0" borderId="13" xfId="0" applyNumberFormat="1" applyFont="1" applyBorder="1" applyAlignment="1">
      <alignment horizontal="center" vertical="center" wrapText="1"/>
    </xf>
    <xf numFmtId="8" fontId="15" fillId="0" borderId="0" xfId="0" applyNumberFormat="1" applyFont="1" applyFill="1" applyBorder="1" applyAlignment="1">
      <alignment horizontal="right" vertical="center" indent="1"/>
    </xf>
    <xf numFmtId="0" fontId="26" fillId="0" borderId="2" xfId="0" applyFont="1" applyBorder="1" applyAlignment="1">
      <alignment horizontal="center" vertical="center" wrapText="1"/>
    </xf>
    <xf numFmtId="0" fontId="33" fillId="0" borderId="0" xfId="0" applyFont="1"/>
    <xf numFmtId="0" fontId="33" fillId="0" borderId="0" xfId="0" applyFont="1" applyAlignment="1" applyProtection="1">
      <alignment vertical="top"/>
    </xf>
    <xf numFmtId="0" fontId="34" fillId="0" borderId="2" xfId="0" applyFont="1" applyBorder="1" applyAlignment="1">
      <alignment horizontal="center" vertical="center"/>
    </xf>
    <xf numFmtId="0" fontId="1" fillId="0" borderId="0" xfId="0" applyFont="1"/>
    <xf numFmtId="0" fontId="34" fillId="0" borderId="4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0" fillId="0" borderId="0" xfId="0" applyAlignment="1" applyProtection="1">
      <alignment wrapText="1"/>
    </xf>
    <xf numFmtId="0" fontId="5" fillId="0" borderId="0" xfId="0" applyFont="1" applyAlignment="1" applyProtection="1"/>
    <xf numFmtId="0" fontId="24" fillId="5" borderId="16" xfId="0" applyFont="1" applyFill="1" applyBorder="1" applyAlignment="1">
      <alignment horizontal="center" vertical="center" wrapText="1"/>
    </xf>
    <xf numFmtId="0" fontId="19" fillId="5" borderId="19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5" fillId="0" borderId="0" xfId="0" applyFont="1" applyBorder="1" applyProtection="1"/>
    <xf numFmtId="0" fontId="9" fillId="5" borderId="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vertical="top"/>
    </xf>
    <xf numFmtId="8" fontId="30" fillId="6" borderId="0" xfId="0" applyNumberFormat="1" applyFont="1" applyFill="1" applyBorder="1" applyAlignment="1">
      <alignment horizontal="right" vertical="center" indent="1"/>
    </xf>
    <xf numFmtId="0" fontId="9" fillId="6" borderId="46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0" fontId="25" fillId="6" borderId="22" xfId="0" applyFont="1" applyFill="1" applyBorder="1" applyAlignment="1">
      <alignment vertical="top"/>
    </xf>
    <xf numFmtId="0" fontId="25" fillId="6" borderId="20" xfId="0" applyFont="1" applyFill="1" applyBorder="1" applyAlignment="1">
      <alignment vertical="top"/>
    </xf>
    <xf numFmtId="10" fontId="9" fillId="6" borderId="20" xfId="0" applyNumberFormat="1" applyFont="1" applyFill="1" applyBorder="1" applyAlignment="1">
      <alignment horizontal="center" vertical="center"/>
    </xf>
    <xf numFmtId="0" fontId="9" fillId="5" borderId="42" xfId="0" applyFont="1" applyFill="1" applyBorder="1" applyAlignment="1">
      <alignment horizontal="center" vertical="center"/>
    </xf>
    <xf numFmtId="0" fontId="9" fillId="5" borderId="43" xfId="0" applyFont="1" applyFill="1" applyBorder="1" applyAlignment="1">
      <alignment vertical="center"/>
    </xf>
    <xf numFmtId="0" fontId="9" fillId="5" borderId="44" xfId="0" applyFont="1" applyFill="1" applyBorder="1" applyAlignment="1">
      <alignment vertical="center"/>
    </xf>
    <xf numFmtId="0" fontId="9" fillId="5" borderId="45" xfId="0" applyFont="1" applyFill="1" applyBorder="1" applyAlignment="1">
      <alignment horizontal="center" vertical="center"/>
    </xf>
    <xf numFmtId="0" fontId="25" fillId="5" borderId="44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vertical="top"/>
    </xf>
    <xf numFmtId="0" fontId="32" fillId="0" borderId="0" xfId="0" applyFont="1" applyProtection="1"/>
    <xf numFmtId="4" fontId="25" fillId="0" borderId="31" xfId="0" applyNumberFormat="1" applyFont="1" applyBorder="1" applyAlignment="1" applyProtection="1">
      <alignment horizontal="right" indent="1"/>
    </xf>
    <xf numFmtId="4" fontId="25" fillId="0" borderId="10" xfId="0" applyNumberFormat="1" applyFont="1" applyBorder="1" applyAlignment="1" applyProtection="1">
      <alignment horizontal="right" indent="1"/>
    </xf>
    <xf numFmtId="1" fontId="25" fillId="7" borderId="0" xfId="0" applyNumberFormat="1" applyFont="1" applyFill="1" applyBorder="1" applyAlignment="1">
      <alignment horizontal="right" vertical="center" wrapText="1" indent="1"/>
    </xf>
    <xf numFmtId="1" fontId="25" fillId="0" borderId="0" xfId="0" applyNumberFormat="1" applyFont="1" applyBorder="1" applyAlignment="1" applyProtection="1">
      <alignment horizontal="right" indent="1"/>
    </xf>
    <xf numFmtId="4" fontId="36" fillId="6" borderId="16" xfId="0" applyNumberFormat="1" applyFont="1" applyFill="1" applyBorder="1" applyAlignment="1">
      <alignment horizontal="right" vertical="center"/>
    </xf>
    <xf numFmtId="0" fontId="37" fillId="0" borderId="0" xfId="0" applyFont="1" applyAlignment="1" applyProtection="1">
      <alignment vertical="center"/>
    </xf>
    <xf numFmtId="0" fontId="38" fillId="0" borderId="0" xfId="0" applyFont="1"/>
    <xf numFmtId="0" fontId="0" fillId="0" borderId="0" xfId="0" applyAlignment="1" applyProtection="1">
      <alignment horizontal="justify" vertical="top" wrapText="1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29" fillId="0" borderId="48" xfId="0" applyFont="1" applyBorder="1" applyProtection="1"/>
    <xf numFmtId="0" fontId="25" fillId="0" borderId="48" xfId="0" applyFont="1" applyBorder="1" applyProtection="1"/>
    <xf numFmtId="0" fontId="25" fillId="0" borderId="48" xfId="0" applyFont="1" applyBorder="1" applyAlignment="1" applyProtection="1">
      <alignment horizontal="right" indent="1"/>
    </xf>
    <xf numFmtId="164" fontId="25" fillId="0" borderId="48" xfId="0" applyNumberFormat="1" applyFont="1" applyBorder="1" applyAlignment="1" applyProtection="1">
      <alignment horizontal="right" indent="1"/>
    </xf>
    <xf numFmtId="4" fontId="25" fillId="0" borderId="49" xfId="0" applyNumberFormat="1" applyFont="1" applyBorder="1" applyAlignment="1" applyProtection="1">
      <alignment horizontal="right" indent="1"/>
    </xf>
    <xf numFmtId="0" fontId="13" fillId="0" borderId="50" xfId="0" applyFont="1" applyBorder="1" applyAlignment="1">
      <alignment vertical="center"/>
    </xf>
    <xf numFmtId="0" fontId="25" fillId="0" borderId="51" xfId="0" applyFont="1" applyBorder="1" applyAlignment="1">
      <alignment vertical="center"/>
    </xf>
    <xf numFmtId="0" fontId="25" fillId="0" borderId="52" xfId="0" applyFont="1" applyBorder="1" applyAlignment="1">
      <alignment vertical="center"/>
    </xf>
    <xf numFmtId="0" fontId="25" fillId="0" borderId="53" xfId="0" applyFont="1" applyBorder="1" applyAlignment="1">
      <alignment horizontal="center" vertical="center"/>
    </xf>
    <xf numFmtId="165" fontId="9" fillId="0" borderId="52" xfId="0" applyNumberFormat="1" applyFont="1" applyBorder="1" applyAlignment="1">
      <alignment horizontal="right" vertical="center" indent="1"/>
    </xf>
    <xf numFmtId="0" fontId="25" fillId="0" borderId="49" xfId="0" applyFont="1" applyBorder="1" applyProtection="1"/>
    <xf numFmtId="0" fontId="25" fillId="0" borderId="31" xfId="0" applyFont="1" applyBorder="1" applyAlignment="1" applyProtection="1">
      <alignment horizontal="right" indent="1"/>
    </xf>
    <xf numFmtId="0" fontId="40" fillId="0" borderId="0" xfId="0" applyFont="1" applyAlignment="1" applyProtection="1">
      <alignment vertical="top"/>
    </xf>
    <xf numFmtId="0" fontId="41" fillId="0" borderId="0" xfId="0" applyFont="1" applyProtection="1"/>
    <xf numFmtId="0" fontId="25" fillId="0" borderId="49" xfId="0" applyFont="1" applyBorder="1" applyAlignment="1" applyProtection="1">
      <alignment horizontal="right" indent="1"/>
    </xf>
    <xf numFmtId="0" fontId="43" fillId="8" borderId="29" xfId="0" applyFont="1" applyFill="1" applyBorder="1" applyProtection="1"/>
    <xf numFmtId="0" fontId="43" fillId="8" borderId="47" xfId="0" applyFont="1" applyFill="1" applyBorder="1" applyProtection="1"/>
    <xf numFmtId="4" fontId="25" fillId="9" borderId="31" xfId="0" applyNumberFormat="1" applyFont="1" applyFill="1" applyBorder="1" applyAlignment="1" applyProtection="1">
      <alignment horizontal="right" indent="1"/>
    </xf>
    <xf numFmtId="0" fontId="43" fillId="0" borderId="8" xfId="0" applyFont="1" applyBorder="1" applyProtection="1"/>
    <xf numFmtId="0" fontId="22" fillId="0" borderId="0" xfId="0" applyFont="1" applyAlignment="1" applyProtection="1">
      <alignment horizontal="center" vertical="center"/>
    </xf>
    <xf numFmtId="0" fontId="38" fillId="0" borderId="0" xfId="0" applyFont="1" applyProtection="1"/>
    <xf numFmtId="0" fontId="1" fillId="0" borderId="0" xfId="0" applyFont="1" applyProtection="1"/>
    <xf numFmtId="0" fontId="9" fillId="5" borderId="42" xfId="0" applyFont="1" applyFill="1" applyBorder="1" applyAlignment="1" applyProtection="1">
      <alignment horizontal="center" vertical="center"/>
    </xf>
    <xf numFmtId="0" fontId="9" fillId="5" borderId="43" xfId="0" applyFont="1" applyFill="1" applyBorder="1" applyAlignment="1" applyProtection="1">
      <alignment vertical="center"/>
    </xf>
    <xf numFmtId="0" fontId="9" fillId="5" borderId="44" xfId="0" applyFont="1" applyFill="1" applyBorder="1" applyAlignment="1" applyProtection="1">
      <alignment vertical="center"/>
    </xf>
    <xf numFmtId="0" fontId="9" fillId="5" borderId="45" xfId="0" applyFont="1" applyFill="1" applyBorder="1" applyAlignment="1" applyProtection="1">
      <alignment horizontal="center" vertical="center"/>
    </xf>
    <xf numFmtId="0" fontId="25" fillId="5" borderId="44" xfId="0" applyFont="1" applyFill="1" applyBorder="1" applyAlignment="1" applyProtection="1">
      <alignment horizontal="center" vertical="center" wrapText="1"/>
    </xf>
    <xf numFmtId="0" fontId="9" fillId="5" borderId="0" xfId="0" applyFont="1" applyFill="1" applyBorder="1" applyAlignment="1" applyProtection="1">
      <alignment horizontal="center" vertical="center" wrapText="1"/>
    </xf>
    <xf numFmtId="0" fontId="25" fillId="0" borderId="0" xfId="0" applyFont="1" applyAlignment="1" applyProtection="1">
      <alignment vertical="center" wrapText="1"/>
    </xf>
    <xf numFmtId="0" fontId="9" fillId="6" borderId="46" xfId="0" applyFont="1" applyFill="1" applyBorder="1" applyAlignment="1" applyProtection="1">
      <alignment horizontal="center" vertical="center"/>
    </xf>
    <xf numFmtId="0" fontId="9" fillId="6" borderId="22" xfId="0" applyFont="1" applyFill="1" applyBorder="1" applyAlignment="1" applyProtection="1">
      <alignment horizontal="center" vertical="center"/>
    </xf>
    <xf numFmtId="0" fontId="25" fillId="6" borderId="22" xfId="0" applyFont="1" applyFill="1" applyBorder="1" applyAlignment="1" applyProtection="1">
      <alignment vertical="top"/>
    </xf>
    <xf numFmtId="0" fontId="25" fillId="6" borderId="20" xfId="0" applyFont="1" applyFill="1" applyBorder="1" applyAlignment="1" applyProtection="1">
      <alignment vertical="top"/>
    </xf>
    <xf numFmtId="10" fontId="9" fillId="6" borderId="20" xfId="0" applyNumberFormat="1" applyFont="1" applyFill="1" applyBorder="1" applyAlignment="1" applyProtection="1">
      <alignment horizontal="center" vertical="center"/>
    </xf>
    <xf numFmtId="0" fontId="25" fillId="6" borderId="14" xfId="0" applyFont="1" applyFill="1" applyBorder="1" applyAlignment="1" applyProtection="1">
      <alignment vertical="top"/>
    </xf>
    <xf numFmtId="0" fontId="25" fillId="6" borderId="0" xfId="0" applyFont="1" applyFill="1" applyBorder="1" applyAlignment="1" applyProtection="1">
      <alignment vertical="top"/>
    </xf>
    <xf numFmtId="0" fontId="25" fillId="6" borderId="8" xfId="0" applyFont="1" applyFill="1" applyBorder="1" applyAlignment="1" applyProtection="1">
      <alignment vertical="top"/>
    </xf>
    <xf numFmtId="0" fontId="9" fillId="6" borderId="37" xfId="0" applyFont="1" applyFill="1" applyBorder="1" applyAlignment="1" applyProtection="1">
      <alignment horizontal="center" vertical="center"/>
    </xf>
    <xf numFmtId="0" fontId="25" fillId="7" borderId="9" xfId="0" applyFont="1" applyFill="1" applyBorder="1" applyAlignment="1" applyProtection="1">
      <alignment vertical="top"/>
    </xf>
    <xf numFmtId="0" fontId="25" fillId="7" borderId="9" xfId="0" applyFont="1" applyFill="1" applyBorder="1" applyAlignment="1" applyProtection="1">
      <alignment horizontal="right" vertical="top" indent="1"/>
    </xf>
    <xf numFmtId="0" fontId="25" fillId="7" borderId="40" xfId="0" applyFont="1" applyFill="1" applyBorder="1" applyAlignment="1" applyProtection="1">
      <alignment horizontal="right" vertical="top" indent="1"/>
    </xf>
    <xf numFmtId="8" fontId="30" fillId="6" borderId="0" xfId="0" applyNumberFormat="1" applyFont="1" applyFill="1" applyBorder="1" applyAlignment="1" applyProtection="1">
      <alignment horizontal="right" vertical="center" indent="1"/>
    </xf>
    <xf numFmtId="0" fontId="13" fillId="0" borderId="25" xfId="0" applyFont="1" applyBorder="1" applyAlignment="1" applyProtection="1">
      <alignment vertical="center"/>
    </xf>
    <xf numFmtId="0" fontId="25" fillId="0" borderId="27" xfId="0" applyFont="1" applyBorder="1" applyAlignment="1" applyProtection="1">
      <alignment vertical="center"/>
    </xf>
    <xf numFmtId="0" fontId="25" fillId="0" borderId="28" xfId="0" applyFont="1" applyBorder="1" applyAlignment="1" applyProtection="1">
      <alignment vertical="center"/>
    </xf>
    <xf numFmtId="0" fontId="25" fillId="0" borderId="26" xfId="0" applyFont="1" applyBorder="1" applyAlignment="1" applyProtection="1">
      <alignment horizontal="center" vertical="center"/>
    </xf>
    <xf numFmtId="10" fontId="25" fillId="7" borderId="26" xfId="0" applyNumberFormat="1" applyFont="1" applyFill="1" applyBorder="1" applyAlignment="1" applyProtection="1">
      <alignment horizontal="right" vertical="center" indent="1"/>
    </xf>
    <xf numFmtId="165" fontId="9" fillId="0" borderId="28" xfId="0" applyNumberFormat="1" applyFont="1" applyBorder="1" applyAlignment="1" applyProtection="1">
      <alignment horizontal="right" vertical="center" indent="1"/>
    </xf>
    <xf numFmtId="4" fontId="25" fillId="2" borderId="38" xfId="0" applyNumberFormat="1" applyFont="1" applyFill="1" applyBorder="1" applyAlignment="1" applyProtection="1">
      <alignment horizontal="right" vertical="center" indent="1"/>
    </xf>
    <xf numFmtId="1" fontId="25" fillId="7" borderId="0" xfId="0" applyNumberFormat="1" applyFont="1" applyFill="1" applyBorder="1" applyAlignment="1" applyProtection="1">
      <alignment horizontal="right" vertical="center" wrapText="1" indent="1"/>
    </xf>
    <xf numFmtId="0" fontId="25" fillId="0" borderId="0" xfId="0" applyFont="1" applyAlignment="1" applyProtection="1">
      <alignment horizontal="left" vertical="center"/>
    </xf>
    <xf numFmtId="4" fontId="25" fillId="2" borderId="54" xfId="0" applyNumberFormat="1" applyFont="1" applyFill="1" applyBorder="1" applyAlignment="1" applyProtection="1">
      <alignment horizontal="right" vertical="center" indent="1"/>
    </xf>
    <xf numFmtId="0" fontId="13" fillId="0" borderId="50" xfId="0" applyFont="1" applyBorder="1" applyAlignment="1" applyProtection="1">
      <alignment vertical="center"/>
    </xf>
    <xf numFmtId="0" fontId="25" fillId="0" borderId="51" xfId="0" applyFont="1" applyBorder="1" applyAlignment="1" applyProtection="1">
      <alignment vertical="center"/>
    </xf>
    <xf numFmtId="0" fontId="25" fillId="0" borderId="52" xfId="0" applyFont="1" applyBorder="1" applyAlignment="1" applyProtection="1">
      <alignment vertical="center"/>
    </xf>
    <xf numFmtId="0" fontId="25" fillId="0" borderId="53" xfId="0" applyFont="1" applyBorder="1" applyAlignment="1" applyProtection="1">
      <alignment horizontal="center" vertical="center"/>
    </xf>
    <xf numFmtId="165" fontId="9" fillId="0" borderId="52" xfId="0" applyNumberFormat="1" applyFont="1" applyBorder="1" applyAlignment="1" applyProtection="1">
      <alignment horizontal="right" vertical="center" indent="1"/>
    </xf>
    <xf numFmtId="0" fontId="13" fillId="0" borderId="32" xfId="0" applyFont="1" applyBorder="1" applyAlignment="1" applyProtection="1">
      <alignment vertical="center"/>
    </xf>
    <xf numFmtId="0" fontId="25" fillId="0" borderId="33" xfId="0" applyFont="1" applyBorder="1" applyAlignment="1" applyProtection="1">
      <alignment vertical="center"/>
    </xf>
    <xf numFmtId="0" fontId="25" fillId="0" borderId="34" xfId="0" applyFont="1" applyBorder="1" applyAlignment="1" applyProtection="1">
      <alignment vertical="center"/>
    </xf>
    <xf numFmtId="0" fontId="25" fillId="0" borderId="35" xfId="0" applyFont="1" applyBorder="1" applyAlignment="1" applyProtection="1">
      <alignment horizontal="center" vertical="center"/>
    </xf>
    <xf numFmtId="165" fontId="9" fillId="0" borderId="34" xfId="0" applyNumberFormat="1" applyFont="1" applyBorder="1" applyAlignment="1" applyProtection="1">
      <alignment horizontal="right" vertical="center" indent="1"/>
    </xf>
    <xf numFmtId="4" fontId="25" fillId="2" borderId="39" xfId="0" applyNumberFormat="1" applyFont="1" applyFill="1" applyBorder="1" applyAlignment="1" applyProtection="1">
      <alignment horizontal="right" vertical="center" indent="1"/>
    </xf>
    <xf numFmtId="4" fontId="25" fillId="0" borderId="39" xfId="0" applyNumberFormat="1" applyFont="1" applyBorder="1" applyAlignment="1" applyProtection="1">
      <alignment horizontal="right" vertical="center" indent="1"/>
    </xf>
    <xf numFmtId="0" fontId="42" fillId="8" borderId="25" xfId="0" applyFont="1" applyFill="1" applyBorder="1" applyAlignment="1" applyProtection="1">
      <alignment vertical="center"/>
    </xf>
    <xf numFmtId="4" fontId="25" fillId="9" borderId="38" xfId="0" applyNumberFormat="1" applyFont="1" applyFill="1" applyBorder="1" applyAlignment="1" applyProtection="1">
      <alignment horizontal="right" vertical="center" indent="1"/>
    </xf>
    <xf numFmtId="0" fontId="24" fillId="5" borderId="16" xfId="0" applyFont="1" applyFill="1" applyBorder="1" applyAlignment="1" applyProtection="1">
      <alignment horizontal="center" vertical="center" wrapText="1"/>
    </xf>
    <xf numFmtId="0" fontId="19" fillId="5" borderId="19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21" fillId="6" borderId="36" xfId="0" applyFont="1" applyFill="1" applyBorder="1" applyAlignment="1" applyProtection="1">
      <alignment horizontal="center" vertical="center"/>
    </xf>
    <xf numFmtId="0" fontId="21" fillId="6" borderId="23" xfId="0" applyFont="1" applyFill="1" applyBorder="1" applyAlignment="1" applyProtection="1">
      <alignment horizontal="center" vertical="center"/>
    </xf>
    <xf numFmtId="0" fontId="3" fillId="6" borderId="23" xfId="0" applyFont="1" applyFill="1" applyBorder="1" applyAlignment="1" applyProtection="1">
      <alignment vertical="top"/>
    </xf>
    <xf numFmtId="0" fontId="3" fillId="6" borderId="19" xfId="0" applyFont="1" applyFill="1" applyBorder="1" applyAlignment="1" applyProtection="1">
      <alignment vertical="top"/>
    </xf>
    <xf numFmtId="10" fontId="21" fillId="6" borderId="19" xfId="0" applyNumberFormat="1" applyFont="1" applyFill="1" applyBorder="1" applyAlignment="1" applyProtection="1">
      <alignment horizontal="center" vertical="center"/>
    </xf>
    <xf numFmtId="10" fontId="21" fillId="6" borderId="23" xfId="0" applyNumberFormat="1" applyFont="1" applyFill="1" applyBorder="1" applyAlignment="1" applyProtection="1">
      <alignment horizontal="center" vertical="center"/>
    </xf>
    <xf numFmtId="0" fontId="3" fillId="6" borderId="21" xfId="0" applyFont="1" applyFill="1" applyBorder="1" applyAlignment="1" applyProtection="1">
      <alignment vertical="top"/>
    </xf>
    <xf numFmtId="0" fontId="21" fillId="6" borderId="20" xfId="0" applyFont="1" applyFill="1" applyBorder="1" applyAlignment="1" applyProtection="1">
      <alignment horizontal="center" vertical="center"/>
    </xf>
    <xf numFmtId="0" fontId="3" fillId="7" borderId="22" xfId="0" applyFont="1" applyFill="1" applyBorder="1" applyAlignment="1" applyProtection="1">
      <alignment vertical="top"/>
    </xf>
    <xf numFmtId="4" fontId="36" fillId="6" borderId="16" xfId="0" applyNumberFormat="1" applyFont="1" applyFill="1" applyBorder="1" applyAlignment="1" applyProtection="1">
      <alignment horizontal="right" vertical="center"/>
    </xf>
    <xf numFmtId="0" fontId="28" fillId="0" borderId="20" xfId="0" applyFont="1" applyBorder="1" applyAlignment="1" applyProtection="1">
      <alignment horizontal="left" vertical="center"/>
    </xf>
    <xf numFmtId="10" fontId="21" fillId="0" borderId="20" xfId="0" applyNumberFormat="1" applyFont="1" applyBorder="1" applyAlignment="1" applyProtection="1">
      <alignment horizontal="right" vertical="center" indent="1"/>
    </xf>
    <xf numFmtId="4" fontId="17" fillId="0" borderId="20" xfId="0" applyNumberFormat="1" applyFont="1" applyBorder="1" applyAlignment="1" applyProtection="1">
      <alignment horizontal="right" vertical="center" indent="1"/>
    </xf>
    <xf numFmtId="4" fontId="19" fillId="7" borderId="24" xfId="0" applyNumberFormat="1" applyFont="1" applyFill="1" applyBorder="1" applyAlignment="1" applyProtection="1">
      <alignment horizontal="center" vertical="center"/>
    </xf>
    <xf numFmtId="4" fontId="25" fillId="2" borderId="38" xfId="0" applyNumberFormat="1" applyFont="1" applyFill="1" applyBorder="1" applyAlignment="1" applyProtection="1">
      <alignment horizontal="right" vertical="center" indent="1"/>
      <protection locked="0"/>
    </xf>
    <xf numFmtId="4" fontId="25" fillId="2" borderId="54" xfId="0" applyNumberFormat="1" applyFont="1" applyFill="1" applyBorder="1" applyAlignment="1" applyProtection="1">
      <alignment horizontal="right" vertical="center" indent="1"/>
      <protection locked="0"/>
    </xf>
    <xf numFmtId="4" fontId="25" fillId="2" borderId="39" xfId="0" applyNumberFormat="1" applyFont="1" applyFill="1" applyBorder="1" applyAlignment="1" applyProtection="1">
      <alignment horizontal="right" vertical="center" indent="1"/>
      <protection locked="0"/>
    </xf>
    <xf numFmtId="10" fontId="25" fillId="7" borderId="55" xfId="0" applyNumberFormat="1" applyFont="1" applyFill="1" applyBorder="1" applyAlignment="1" applyProtection="1">
      <alignment horizontal="right" vertical="center" indent="1"/>
    </xf>
    <xf numFmtId="0" fontId="42" fillId="0" borderId="32" xfId="0" applyFont="1" applyBorder="1" applyAlignment="1" applyProtection="1">
      <alignment vertical="center"/>
    </xf>
    <xf numFmtId="0" fontId="42" fillId="0" borderId="25" xfId="0" applyFont="1" applyBorder="1" applyAlignment="1" applyProtection="1">
      <alignment vertical="center"/>
    </xf>
    <xf numFmtId="0" fontId="42" fillId="0" borderId="50" xfId="0" applyFont="1" applyBorder="1" applyAlignment="1" applyProtection="1">
      <alignment vertical="center"/>
    </xf>
    <xf numFmtId="0" fontId="42" fillId="8" borderId="50" xfId="0" applyFont="1" applyFill="1" applyBorder="1" applyAlignment="1" applyProtection="1">
      <alignment vertical="center"/>
    </xf>
    <xf numFmtId="0" fontId="0" fillId="0" borderId="0" xfId="0" applyAlignment="1">
      <alignment horizontal="right"/>
    </xf>
    <xf numFmtId="0" fontId="45" fillId="0" borderId="0" xfId="0" applyFont="1" applyProtection="1"/>
    <xf numFmtId="0" fontId="46" fillId="0" borderId="0" xfId="0" applyFont="1"/>
    <xf numFmtId="0" fontId="46" fillId="0" borderId="0" xfId="0" applyFont="1" applyAlignment="1">
      <alignment horizontal="right"/>
    </xf>
    <xf numFmtId="165" fontId="48" fillId="0" borderId="28" xfId="0" applyNumberFormat="1" applyFont="1" applyBorder="1" applyAlignment="1">
      <alignment horizontal="right" vertical="center" indent="1"/>
    </xf>
    <xf numFmtId="165" fontId="48" fillId="0" borderId="34" xfId="0" applyNumberFormat="1" applyFont="1" applyBorder="1" applyAlignment="1" applyProtection="1">
      <alignment horizontal="right" vertical="center" indent="1"/>
    </xf>
    <xf numFmtId="10" fontId="49" fillId="7" borderId="26" xfId="0" applyNumberFormat="1" applyFont="1" applyFill="1" applyBorder="1" applyAlignment="1" applyProtection="1">
      <alignment horizontal="right" vertical="center" indent="1"/>
    </xf>
    <xf numFmtId="0" fontId="39" fillId="0" borderId="0" xfId="0" applyFont="1"/>
    <xf numFmtId="0" fontId="50" fillId="0" borderId="0" xfId="0" applyFont="1"/>
    <xf numFmtId="0" fontId="51" fillId="0" borderId="0" xfId="0" applyFont="1" applyAlignment="1">
      <alignment horizontal="right"/>
    </xf>
    <xf numFmtId="0" fontId="51" fillId="0" borderId="0" xfId="0" applyFont="1"/>
    <xf numFmtId="0" fontId="43" fillId="0" borderId="29" xfId="0" applyFont="1" applyBorder="1" applyProtection="1"/>
    <xf numFmtId="0" fontId="43" fillId="0" borderId="47" xfId="0" applyFont="1" applyBorder="1" applyProtection="1"/>
    <xf numFmtId="0" fontId="41" fillId="0" borderId="0" xfId="0" applyFont="1" applyAlignment="1" applyProtection="1">
      <alignment vertical="center"/>
    </xf>
    <xf numFmtId="0" fontId="43" fillId="0" borderId="29" xfId="0" applyFont="1" applyBorder="1" applyAlignment="1" applyProtection="1">
      <alignment vertical="center"/>
    </xf>
    <xf numFmtId="0" fontId="29" fillId="0" borderId="30" xfId="0" applyFont="1" applyBorder="1" applyAlignment="1" applyProtection="1">
      <alignment vertical="center"/>
    </xf>
    <xf numFmtId="0" fontId="25" fillId="0" borderId="30" xfId="0" applyFont="1" applyBorder="1" applyAlignment="1" applyProtection="1">
      <alignment vertical="center"/>
    </xf>
    <xf numFmtId="0" fontId="25" fillId="0" borderId="30" xfId="0" applyFont="1" applyBorder="1" applyAlignment="1" applyProtection="1">
      <alignment horizontal="right" vertical="center"/>
    </xf>
    <xf numFmtId="164" fontId="25" fillId="0" borderId="30" xfId="0" applyNumberFormat="1" applyFont="1" applyBorder="1" applyAlignment="1" applyProtection="1">
      <alignment horizontal="right" vertical="center"/>
    </xf>
    <xf numFmtId="4" fontId="25" fillId="0" borderId="31" xfId="0" applyNumberFormat="1" applyFont="1" applyBorder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1" fontId="25" fillId="0" borderId="0" xfId="0" applyNumberFormat="1" applyFont="1" applyBorder="1" applyAlignment="1" applyProtection="1">
      <alignment horizontal="right" vertical="center"/>
    </xf>
    <xf numFmtId="0" fontId="43" fillId="0" borderId="47" xfId="0" applyFont="1" applyBorder="1" applyAlignment="1" applyProtection="1">
      <alignment vertical="center"/>
    </xf>
    <xf numFmtId="0" fontId="29" fillId="0" borderId="48" xfId="0" applyFont="1" applyBorder="1" applyAlignment="1" applyProtection="1">
      <alignment vertical="center"/>
    </xf>
    <xf numFmtId="0" fontId="25" fillId="0" borderId="48" xfId="0" applyFont="1" applyBorder="1" applyAlignment="1" applyProtection="1">
      <alignment vertical="center"/>
    </xf>
    <xf numFmtId="0" fontId="25" fillId="0" borderId="48" xfId="0" applyFont="1" applyBorder="1" applyAlignment="1" applyProtection="1">
      <alignment horizontal="right" vertical="center"/>
    </xf>
    <xf numFmtId="164" fontId="25" fillId="0" borderId="48" xfId="0" applyNumberFormat="1" applyFont="1" applyBorder="1" applyAlignment="1" applyProtection="1">
      <alignment horizontal="right" vertical="center"/>
    </xf>
    <xf numFmtId="4" fontId="25" fillId="0" borderId="49" xfId="0" applyNumberFormat="1" applyFont="1" applyBorder="1" applyAlignment="1" applyProtection="1">
      <alignment horizontal="right" vertical="center"/>
    </xf>
    <xf numFmtId="0" fontId="43" fillId="0" borderId="8" xfId="0" applyFont="1" applyBorder="1" applyAlignment="1" applyProtection="1">
      <alignment vertical="center"/>
    </xf>
    <xf numFmtId="0" fontId="29" fillId="0" borderId="9" xfId="0" applyFont="1" applyBorder="1" applyAlignment="1" applyProtection="1">
      <alignment vertical="center"/>
    </xf>
    <xf numFmtId="0" fontId="25" fillId="0" borderId="9" xfId="0" applyFont="1" applyBorder="1" applyAlignment="1" applyProtection="1">
      <alignment vertical="center"/>
    </xf>
    <xf numFmtId="0" fontId="25" fillId="0" borderId="9" xfId="0" applyFont="1" applyBorder="1" applyAlignment="1" applyProtection="1">
      <alignment horizontal="right" vertical="center"/>
    </xf>
    <xf numFmtId="0" fontId="25" fillId="0" borderId="10" xfId="0" applyFont="1" applyBorder="1" applyAlignment="1" applyProtection="1">
      <alignment horizontal="right" vertical="center"/>
    </xf>
    <xf numFmtId="0" fontId="25" fillId="0" borderId="49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5" fillId="0" borderId="31" xfId="0" applyFont="1" applyBorder="1" applyAlignment="1" applyProtection="1">
      <alignment horizontal="right" vertical="center"/>
    </xf>
    <xf numFmtId="0" fontId="25" fillId="0" borderId="10" xfId="0" applyFont="1" applyBorder="1" applyAlignment="1" applyProtection="1">
      <alignment vertical="center"/>
    </xf>
    <xf numFmtId="0" fontId="25" fillId="0" borderId="49" xfId="0" applyFont="1" applyBorder="1" applyAlignment="1" applyProtection="1">
      <alignment horizontal="right" vertical="center"/>
    </xf>
    <xf numFmtId="0" fontId="0" fillId="0" borderId="0" xfId="0" applyAlignment="1">
      <alignment horizontal="right" indent="1"/>
    </xf>
    <xf numFmtId="10" fontId="33" fillId="0" borderId="2" xfId="1" applyNumberFormat="1" applyFont="1" applyBorder="1" applyAlignment="1">
      <alignment horizontal="right" indent="1"/>
    </xf>
    <xf numFmtId="0" fontId="33" fillId="0" borderId="0" xfId="0" applyFont="1" applyAlignment="1">
      <alignment horizontal="right" indent="1"/>
    </xf>
    <xf numFmtId="4" fontId="26" fillId="0" borderId="2" xfId="0" applyNumberFormat="1" applyFont="1" applyBorder="1" applyAlignment="1">
      <alignment horizontal="right" indent="2"/>
    </xf>
    <xf numFmtId="4" fontId="26" fillId="0" borderId="2" xfId="0" applyNumberFormat="1" applyFont="1" applyBorder="1" applyAlignment="1">
      <alignment horizontal="right" vertical="center" indent="2"/>
    </xf>
    <xf numFmtId="0" fontId="26" fillId="0" borderId="0" xfId="0" applyFont="1" applyAlignment="1">
      <alignment horizontal="right" indent="2"/>
    </xf>
    <xf numFmtId="0" fontId="52" fillId="5" borderId="45" xfId="0" applyFont="1" applyFill="1" applyBorder="1" applyAlignment="1">
      <alignment horizontal="center" vertical="center" wrapText="1"/>
    </xf>
    <xf numFmtId="0" fontId="52" fillId="5" borderId="45" xfId="0" applyFont="1" applyFill="1" applyBorder="1" applyAlignment="1" applyProtection="1">
      <alignment horizontal="center" vertical="center" wrapText="1"/>
    </xf>
    <xf numFmtId="0" fontId="52" fillId="5" borderId="7" xfId="0" applyFont="1" applyFill="1" applyBorder="1" applyAlignment="1">
      <alignment horizontal="center" vertical="center" wrapText="1"/>
    </xf>
    <xf numFmtId="0" fontId="52" fillId="5" borderId="7" xfId="0" applyFont="1" applyFill="1" applyBorder="1" applyAlignment="1" applyProtection="1">
      <alignment horizontal="center" vertical="center" wrapText="1"/>
    </xf>
    <xf numFmtId="0" fontId="3" fillId="6" borderId="20" xfId="0" applyFont="1" applyFill="1" applyBorder="1" applyAlignment="1">
      <alignment vertical="top"/>
    </xf>
    <xf numFmtId="0" fontId="52" fillId="5" borderId="16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right" vertical="center"/>
    </xf>
    <xf numFmtId="0" fontId="42" fillId="0" borderId="56" xfId="0" applyFont="1" applyFill="1" applyBorder="1" applyAlignment="1" applyProtection="1">
      <alignment vertical="center"/>
    </xf>
    <xf numFmtId="0" fontId="25" fillId="0" borderId="0" xfId="0" applyFont="1" applyAlignment="1" applyProtection="1">
      <alignment horizontal="right" vertical="center"/>
    </xf>
    <xf numFmtId="0" fontId="42" fillId="0" borderId="0" xfId="0" applyFont="1" applyFill="1" applyBorder="1" applyAlignment="1" applyProtection="1">
      <alignment vertical="center"/>
    </xf>
    <xf numFmtId="0" fontId="25" fillId="0" borderId="0" xfId="0" applyFont="1" applyAlignment="1" applyProtection="1">
      <alignment horizontal="right"/>
    </xf>
    <xf numFmtId="9" fontId="53" fillId="0" borderId="3" xfId="0" applyNumberFormat="1" applyFont="1" applyBorder="1" applyAlignment="1" applyProtection="1">
      <alignment horizontal="right" vertical="center" indent="3"/>
    </xf>
    <xf numFmtId="0" fontId="38" fillId="0" borderId="0" xfId="0" applyFont="1" applyFill="1"/>
    <xf numFmtId="4" fontId="47" fillId="2" borderId="6" xfId="0" applyNumberFormat="1" applyFont="1" applyFill="1" applyBorder="1" applyAlignment="1" applyProtection="1">
      <alignment horizontal="right" vertical="center"/>
    </xf>
    <xf numFmtId="4" fontId="4" fillId="2" borderId="6" xfId="0" applyNumberFormat="1" applyFont="1" applyFill="1" applyBorder="1" applyAlignment="1" applyProtection="1">
      <alignment horizontal="right" vertical="center"/>
    </xf>
    <xf numFmtId="4" fontId="32" fillId="0" borderId="0" xfId="0" applyNumberFormat="1" applyFont="1" applyProtection="1"/>
    <xf numFmtId="10" fontId="56" fillId="0" borderId="0" xfId="0" applyNumberFormat="1" applyFont="1" applyProtection="1"/>
    <xf numFmtId="165" fontId="56" fillId="0" borderId="0" xfId="0" applyNumberFormat="1" applyFont="1" applyProtection="1"/>
    <xf numFmtId="4" fontId="56" fillId="0" borderId="0" xfId="0" applyNumberFormat="1" applyFont="1" applyProtection="1"/>
    <xf numFmtId="0" fontId="58" fillId="0" borderId="0" xfId="0" applyFont="1"/>
    <xf numFmtId="0" fontId="59" fillId="0" borderId="26" xfId="0" applyFont="1" applyBorder="1" applyAlignment="1" applyProtection="1">
      <alignment horizontal="center" vertical="center"/>
    </xf>
    <xf numFmtId="0" fontId="59" fillId="0" borderId="53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left" vertical="top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distributed" vertical="top" wrapText="1"/>
    </xf>
    <xf numFmtId="0" fontId="55" fillId="0" borderId="5" xfId="0" applyFont="1" applyBorder="1" applyAlignment="1" applyProtection="1">
      <alignment horizontal="left" vertical="center" wrapText="1" indent="1"/>
    </xf>
    <xf numFmtId="0" fontId="55" fillId="0" borderId="6" xfId="0" applyFont="1" applyBorder="1" applyAlignment="1" applyProtection="1">
      <alignment horizontal="left" vertical="center" wrapText="1" indent="1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justify" wrapText="1"/>
    </xf>
    <xf numFmtId="0" fontId="0" fillId="0" borderId="0" xfId="0" applyAlignment="1" applyProtection="1">
      <alignment horizontal="justify" vertical="top" wrapText="1"/>
    </xf>
    <xf numFmtId="0" fontId="8" fillId="0" borderId="0" xfId="0" applyFont="1" applyAlignment="1" applyProtection="1">
      <alignment horizontal="left" vertical="top"/>
    </xf>
    <xf numFmtId="0" fontId="16" fillId="4" borderId="5" xfId="0" applyFont="1" applyFill="1" applyBorder="1" applyAlignment="1" applyProtection="1">
      <alignment horizontal="center" vertical="center" wrapText="1"/>
    </xf>
    <xf numFmtId="0" fontId="16" fillId="4" borderId="6" xfId="0" applyFont="1" applyFill="1" applyBorder="1" applyAlignment="1" applyProtection="1">
      <alignment horizontal="center" vertical="center" wrapText="1"/>
    </xf>
    <xf numFmtId="0" fontId="16" fillId="4" borderId="7" xfId="0" applyFont="1" applyFill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center" vertical="center"/>
    </xf>
    <xf numFmtId="0" fontId="44" fillId="0" borderId="1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 wrapText="1"/>
    </xf>
    <xf numFmtId="0" fontId="21" fillId="0" borderId="6" xfId="0" applyFont="1" applyBorder="1" applyAlignment="1" applyProtection="1">
      <alignment horizontal="left" vertical="center" indent="1"/>
    </xf>
    <xf numFmtId="0" fontId="14" fillId="0" borderId="2" xfId="0" applyFont="1" applyFill="1" applyBorder="1" applyAlignment="1" applyProtection="1">
      <alignment horizontal="left" vertical="center" wrapText="1" indent="1"/>
    </xf>
    <xf numFmtId="0" fontId="14" fillId="0" borderId="2" xfId="0" applyFont="1" applyFill="1" applyBorder="1" applyAlignment="1" applyProtection="1">
      <alignment horizontal="left" vertical="center" indent="1"/>
    </xf>
    <xf numFmtId="0" fontId="24" fillId="0" borderId="17" xfId="0" applyFont="1" applyBorder="1" applyAlignment="1">
      <alignment horizontal="left" vertical="center"/>
    </xf>
    <xf numFmtId="0" fontId="24" fillId="0" borderId="24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7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10" fontId="17" fillId="7" borderId="17" xfId="0" applyNumberFormat="1" applyFont="1" applyFill="1" applyBorder="1" applyAlignment="1">
      <alignment horizontal="right" vertical="center" indent="1"/>
    </xf>
    <xf numFmtId="10" fontId="17" fillId="7" borderId="24" xfId="0" applyNumberFormat="1" applyFont="1" applyFill="1" applyBorder="1" applyAlignment="1">
      <alignment horizontal="right" vertical="center" indent="1"/>
    </xf>
    <xf numFmtId="10" fontId="17" fillId="7" borderId="18" xfId="0" applyNumberFormat="1" applyFont="1" applyFill="1" applyBorder="1" applyAlignment="1">
      <alignment horizontal="right" vertical="center" indent="1"/>
    </xf>
    <xf numFmtId="0" fontId="9" fillId="3" borderId="2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165" fontId="17" fillId="7" borderId="17" xfId="0" applyNumberFormat="1" applyFont="1" applyFill="1" applyBorder="1" applyAlignment="1">
      <alignment horizontal="center" vertical="center"/>
    </xf>
    <xf numFmtId="165" fontId="17" fillId="7" borderId="24" xfId="0" applyNumberFormat="1" applyFont="1" applyFill="1" applyBorder="1" applyAlignment="1">
      <alignment horizontal="center" vertical="center"/>
    </xf>
    <xf numFmtId="165" fontId="17" fillId="7" borderId="18" xfId="0" applyNumberFormat="1" applyFont="1" applyFill="1" applyBorder="1" applyAlignment="1">
      <alignment horizontal="center" vertical="center"/>
    </xf>
    <xf numFmtId="4" fontId="19" fillId="7" borderId="17" xfId="0" applyNumberFormat="1" applyFont="1" applyFill="1" applyBorder="1" applyAlignment="1">
      <alignment horizontal="center" vertical="center"/>
    </xf>
    <xf numFmtId="4" fontId="19" fillId="7" borderId="24" xfId="0" applyNumberFormat="1" applyFont="1" applyFill="1" applyBorder="1" applyAlignment="1">
      <alignment horizontal="center" vertical="center"/>
    </xf>
    <xf numFmtId="4" fontId="19" fillId="7" borderId="18" xfId="0" applyNumberFormat="1" applyFont="1" applyFill="1" applyBorder="1" applyAlignment="1">
      <alignment horizontal="center" vertical="center"/>
    </xf>
    <xf numFmtId="165" fontId="17" fillId="7" borderId="17" xfId="0" applyNumberFormat="1" applyFont="1" applyFill="1" applyBorder="1" applyAlignment="1" applyProtection="1">
      <alignment horizontal="center" vertical="center"/>
    </xf>
    <xf numFmtId="165" fontId="17" fillId="7" borderId="24" xfId="0" applyNumberFormat="1" applyFont="1" applyFill="1" applyBorder="1" applyAlignment="1" applyProtection="1">
      <alignment horizontal="center" vertical="center"/>
    </xf>
    <xf numFmtId="165" fontId="17" fillId="7" borderId="18" xfId="0" applyNumberFormat="1" applyFont="1" applyFill="1" applyBorder="1" applyAlignment="1" applyProtection="1">
      <alignment horizontal="center" vertical="center"/>
    </xf>
    <xf numFmtId="4" fontId="19" fillId="7" borderId="17" xfId="0" applyNumberFormat="1" applyFont="1" applyFill="1" applyBorder="1" applyAlignment="1" applyProtection="1">
      <alignment horizontal="center" vertical="center"/>
    </xf>
    <xf numFmtId="4" fontId="19" fillId="7" borderId="24" xfId="0" applyNumberFormat="1" applyFont="1" applyFill="1" applyBorder="1" applyAlignment="1" applyProtection="1">
      <alignment horizontal="center" vertical="center"/>
    </xf>
    <xf numFmtId="4" fontId="19" fillId="7" borderId="18" xfId="0" applyNumberFormat="1" applyFont="1" applyFill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left" vertical="center"/>
    </xf>
    <xf numFmtId="0" fontId="24" fillId="0" borderId="24" xfId="0" applyFont="1" applyBorder="1" applyAlignment="1" applyProtection="1">
      <alignment horizontal="left" vertical="center"/>
    </xf>
    <xf numFmtId="0" fontId="24" fillId="0" borderId="18" xfId="0" applyFont="1" applyBorder="1" applyAlignment="1" applyProtection="1">
      <alignment horizontal="left" vertical="center"/>
    </xf>
    <xf numFmtId="0" fontId="17" fillId="0" borderId="17" xfId="0" applyFont="1" applyBorder="1" applyAlignment="1" applyProtection="1">
      <alignment horizontal="left" vertical="center" wrapText="1"/>
    </xf>
    <xf numFmtId="0" fontId="17" fillId="0" borderId="24" xfId="0" applyFont="1" applyBorder="1" applyAlignment="1" applyProtection="1">
      <alignment horizontal="left" vertical="center" wrapText="1"/>
    </xf>
    <xf numFmtId="0" fontId="17" fillId="0" borderId="18" xfId="0" applyFont="1" applyBorder="1" applyAlignment="1" applyProtection="1">
      <alignment horizontal="left" vertical="center" wrapText="1"/>
    </xf>
    <xf numFmtId="0" fontId="17" fillId="0" borderId="17" xfId="0" applyFont="1" applyBorder="1" applyAlignment="1" applyProtection="1">
      <alignment horizontal="center" vertical="center"/>
    </xf>
    <xf numFmtId="0" fontId="17" fillId="0" borderId="24" xfId="0" applyFont="1" applyBorder="1" applyAlignment="1" applyProtection="1">
      <alignment horizontal="center" vertical="center"/>
    </xf>
    <xf numFmtId="0" fontId="17" fillId="0" borderId="18" xfId="0" applyFont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horizontal="left" vertical="center"/>
    </xf>
    <xf numFmtId="0" fontId="17" fillId="0" borderId="24" xfId="0" applyFont="1" applyBorder="1" applyAlignment="1" applyProtection="1">
      <alignment horizontal="left" vertical="center"/>
    </xf>
    <xf numFmtId="0" fontId="17" fillId="0" borderId="18" xfId="0" applyFont="1" applyBorder="1" applyAlignment="1" applyProtection="1">
      <alignment horizontal="left" vertical="center"/>
    </xf>
    <xf numFmtId="10" fontId="17" fillId="7" borderId="17" xfId="0" applyNumberFormat="1" applyFont="1" applyFill="1" applyBorder="1" applyAlignment="1" applyProtection="1">
      <alignment horizontal="right" vertical="center" indent="1"/>
    </xf>
    <xf numFmtId="10" fontId="17" fillId="7" borderId="24" xfId="0" applyNumberFormat="1" applyFont="1" applyFill="1" applyBorder="1" applyAlignment="1" applyProtection="1">
      <alignment horizontal="right" vertical="center" indent="1"/>
    </xf>
    <xf numFmtId="10" fontId="17" fillId="7" borderId="18" xfId="0" applyNumberFormat="1" applyFont="1" applyFill="1" applyBorder="1" applyAlignment="1" applyProtection="1">
      <alignment horizontal="right" vertical="center" indent="1"/>
    </xf>
    <xf numFmtId="0" fontId="60" fillId="0" borderId="17" xfId="0" applyFont="1" applyBorder="1" applyAlignment="1" applyProtection="1">
      <alignment horizontal="center" vertical="center"/>
    </xf>
    <xf numFmtId="0" fontId="60" fillId="0" borderId="24" xfId="0" applyFont="1" applyBorder="1" applyAlignment="1" applyProtection="1">
      <alignment horizontal="center" vertical="center"/>
    </xf>
    <xf numFmtId="0" fontId="60" fillId="0" borderId="18" xfId="0" applyFont="1" applyBorder="1" applyAlignment="1" applyProtection="1">
      <alignment horizontal="center" vertical="center"/>
    </xf>
    <xf numFmtId="0" fontId="32" fillId="0" borderId="57" xfId="0" applyFont="1" applyFill="1" applyBorder="1"/>
    <xf numFmtId="0" fontId="61" fillId="0" borderId="57" xfId="0" applyFont="1" applyFill="1" applyBorder="1" applyAlignment="1"/>
    <xf numFmtId="0" fontId="43" fillId="0" borderId="57" xfId="0" applyFont="1" applyFill="1" applyBorder="1"/>
    <xf numFmtId="0" fontId="62" fillId="0" borderId="57" xfId="0" applyFont="1" applyFill="1" applyBorder="1"/>
    <xf numFmtId="0" fontId="63" fillId="0" borderId="57" xfId="0" applyFont="1" applyFill="1" applyBorder="1" applyAlignment="1">
      <alignment horizontal="center" vertical="center"/>
    </xf>
    <xf numFmtId="0" fontId="63" fillId="0" borderId="57" xfId="0" applyFont="1" applyFill="1" applyBorder="1" applyAlignment="1">
      <alignment horizontal="center" vertical="center" wrapText="1"/>
    </xf>
    <xf numFmtId="0" fontId="61" fillId="0" borderId="57" xfId="0" applyFont="1" applyFill="1" applyBorder="1" applyAlignment="1">
      <alignment horizontal="center"/>
    </xf>
    <xf numFmtId="10" fontId="32" fillId="0" borderId="57" xfId="0" applyNumberFormat="1" applyFont="1" applyFill="1" applyBorder="1" applyProtection="1">
      <protection locked="0"/>
    </xf>
    <xf numFmtId="0" fontId="56" fillId="0" borderId="57" xfId="0" applyFont="1" applyFill="1" applyBorder="1"/>
    <xf numFmtId="0" fontId="64" fillId="0" borderId="57" xfId="0" applyFont="1" applyFill="1" applyBorder="1" applyAlignment="1">
      <alignment horizontal="center" vertical="center" wrapText="1"/>
    </xf>
    <xf numFmtId="0" fontId="64" fillId="0" borderId="57" xfId="0" applyFont="1" applyFill="1" applyBorder="1" applyAlignment="1">
      <alignment horizontal="left" vertical="center" indent="1"/>
    </xf>
    <xf numFmtId="10" fontId="32" fillId="0" borderId="57" xfId="0" applyNumberFormat="1" applyFont="1" applyFill="1" applyBorder="1"/>
    <xf numFmtId="10" fontId="62" fillId="0" borderId="57" xfId="0" applyNumberFormat="1" applyFont="1" applyFill="1" applyBorder="1"/>
    <xf numFmtId="0" fontId="63" fillId="0" borderId="57" xfId="0" applyFont="1" applyFill="1" applyBorder="1" applyAlignment="1">
      <alignment horizontal="left" vertical="center" wrapText="1"/>
    </xf>
    <xf numFmtId="0" fontId="63" fillId="0" borderId="57" xfId="0" applyFont="1" applyFill="1" applyBorder="1" applyAlignment="1">
      <alignment horizontal="left" vertical="center"/>
    </xf>
    <xf numFmtId="4" fontId="32" fillId="0" borderId="57" xfId="0" applyNumberFormat="1" applyFont="1" applyFill="1" applyBorder="1"/>
    <xf numFmtId="4" fontId="56" fillId="0" borderId="57" xfId="0" applyNumberFormat="1" applyFont="1" applyFill="1" applyBorder="1"/>
    <xf numFmtId="10" fontId="61" fillId="0" borderId="57" xfId="0" applyNumberFormat="1" applyFont="1" applyFill="1" applyBorder="1"/>
    <xf numFmtId="10" fontId="65" fillId="0" borderId="57" xfId="0" applyNumberFormat="1" applyFont="1" applyFill="1" applyBorder="1"/>
    <xf numFmtId="4" fontId="61" fillId="0" borderId="57" xfId="0" applyNumberFormat="1" applyFont="1" applyFill="1" applyBorder="1"/>
    <xf numFmtId="4" fontId="66" fillId="0" borderId="57" xfId="0" applyNumberFormat="1" applyFont="1" applyFill="1" applyBorder="1"/>
    <xf numFmtId="0" fontId="64" fillId="0" borderId="57" xfId="0" applyFont="1" applyFill="1" applyBorder="1" applyAlignment="1">
      <alignment horizontal="center" vertical="center"/>
    </xf>
    <xf numFmtId="0" fontId="61" fillId="0" borderId="57" xfId="0" applyFont="1" applyFill="1" applyBorder="1"/>
    <xf numFmtId="0" fontId="63" fillId="0" borderId="57" xfId="0" applyFont="1" applyFill="1" applyBorder="1" applyAlignment="1">
      <alignment horizontal="left" vertical="center" indent="1"/>
    </xf>
    <xf numFmtId="10" fontId="61" fillId="0" borderId="57" xfId="0" applyNumberFormat="1" applyFont="1" applyFill="1" applyBorder="1" applyAlignment="1">
      <alignment horizontal="center"/>
    </xf>
    <xf numFmtId="164" fontId="65" fillId="0" borderId="57" xfId="0" applyNumberFormat="1" applyFont="1" applyFill="1" applyBorder="1" applyProtection="1">
      <protection locked="0"/>
    </xf>
    <xf numFmtId="10" fontId="67" fillId="0" borderId="57" xfId="0" applyNumberFormat="1" applyFont="1" applyFill="1" applyBorder="1"/>
    <xf numFmtId="10" fontId="67" fillId="0" borderId="57" xfId="0" applyNumberFormat="1" applyFont="1" applyFill="1" applyBorder="1" applyProtection="1">
      <protection locked="0"/>
    </xf>
    <xf numFmtId="4" fontId="68" fillId="0" borderId="57" xfId="0" applyNumberFormat="1" applyFont="1" applyFill="1" applyBorder="1"/>
    <xf numFmtId="0" fontId="32" fillId="0" borderId="0" xfId="0" applyFont="1" applyFill="1" applyBorder="1"/>
    <xf numFmtId="0" fontId="61" fillId="0" borderId="0" xfId="0" applyFont="1" applyFill="1" applyBorder="1"/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69" fillId="0" borderId="0" xfId="0" applyFont="1" applyFill="1" applyBorder="1" applyAlignment="1">
      <alignment vertical="center" wrapText="1"/>
    </xf>
    <xf numFmtId="0" fontId="32" fillId="0" borderId="0" xfId="0" applyFont="1" applyFill="1" applyBorder="1" applyAlignment="1">
      <alignment vertical="center" wrapText="1"/>
    </xf>
    <xf numFmtId="0" fontId="69" fillId="0" borderId="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left"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right" vertical="center" indent="1"/>
    </xf>
    <xf numFmtId="0" fontId="70" fillId="0" borderId="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left" vertical="center" indent="1"/>
    </xf>
    <xf numFmtId="8" fontId="41" fillId="0" borderId="0" xfId="0" applyNumberFormat="1" applyFont="1" applyFill="1" applyBorder="1" applyAlignment="1">
      <alignment horizontal="right" vertical="center"/>
    </xf>
    <xf numFmtId="0" fontId="70" fillId="0" borderId="0" xfId="0" applyFont="1" applyFill="1" applyBorder="1" applyAlignment="1">
      <alignment horizontal="right" vertical="center" indent="1"/>
    </xf>
    <xf numFmtId="0" fontId="41" fillId="0" borderId="0" xfId="0" applyFont="1" applyFill="1" applyBorder="1" applyAlignment="1">
      <alignment horizontal="left" vertical="center" wrapText="1"/>
    </xf>
    <xf numFmtId="0" fontId="71" fillId="0" borderId="0" xfId="0" applyFont="1" applyFill="1" applyBorder="1" applyAlignment="1">
      <alignment horizontal="left" vertical="center" wrapText="1" indent="1"/>
    </xf>
    <xf numFmtId="10" fontId="41" fillId="0" borderId="0" xfId="0" applyNumberFormat="1" applyFont="1" applyFill="1" applyBorder="1" applyAlignment="1">
      <alignment horizontal="right" vertical="center" indent="1"/>
    </xf>
    <xf numFmtId="10" fontId="41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Border="1" applyAlignment="1">
      <alignment horizontal="right" vertical="center"/>
    </xf>
    <xf numFmtId="4" fontId="41" fillId="0" borderId="0" xfId="0" applyNumberFormat="1" applyFont="1" applyFill="1" applyBorder="1" applyAlignment="1">
      <alignment horizontal="right" vertical="center" indent="1"/>
    </xf>
    <xf numFmtId="4" fontId="41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Border="1" applyAlignment="1">
      <alignment horizontal="left" vertical="center"/>
    </xf>
    <xf numFmtId="10" fontId="63" fillId="0" borderId="0" xfId="0" applyNumberFormat="1" applyFont="1" applyFill="1" applyBorder="1" applyAlignment="1">
      <alignment horizontal="right" vertical="center" indent="1"/>
    </xf>
    <xf numFmtId="0" fontId="41" fillId="0" borderId="0" xfId="0" applyFont="1" applyFill="1" applyBorder="1" applyAlignment="1">
      <alignment horizontal="right" vertical="center" indent="1"/>
    </xf>
    <xf numFmtId="10" fontId="61" fillId="0" borderId="0" xfId="0" applyNumberFormat="1" applyFont="1" applyFill="1" applyBorder="1"/>
    <xf numFmtId="0" fontId="71" fillId="0" borderId="0" xfId="0" applyFont="1" applyFill="1" applyBorder="1" applyAlignment="1">
      <alignment horizontal="left" vertical="center" wrapText="1"/>
    </xf>
    <xf numFmtId="10" fontId="42" fillId="0" borderId="0" xfId="0" applyNumberFormat="1" applyFont="1" applyFill="1" applyBorder="1" applyAlignment="1">
      <alignment horizontal="right" vertical="center" indent="1"/>
    </xf>
    <xf numFmtId="0" fontId="72" fillId="0" borderId="0" xfId="0" applyFont="1" applyFill="1" applyBorder="1" applyAlignment="1">
      <alignment horizontal="right" vertical="center"/>
    </xf>
    <xf numFmtId="0" fontId="65" fillId="0" borderId="0" xfId="0" applyFont="1" applyFill="1" applyBorder="1" applyAlignment="1">
      <alignment horizontal="center" vertical="center"/>
    </xf>
    <xf numFmtId="10" fontId="73" fillId="0" borderId="0" xfId="0" applyNumberFormat="1" applyFont="1" applyFill="1" applyBorder="1" applyAlignment="1">
      <alignment horizontal="right" vertical="center" indent="1"/>
    </xf>
    <xf numFmtId="10" fontId="68" fillId="0" borderId="0" xfId="0" applyNumberFormat="1" applyFont="1" applyFill="1" applyBorder="1" applyAlignment="1">
      <alignment horizontal="right" vertical="center" indent="1"/>
    </xf>
    <xf numFmtId="0" fontId="68" fillId="0" borderId="0" xfId="0" applyFont="1" applyFill="1" applyBorder="1" applyAlignment="1">
      <alignment horizontal="right" vertical="center" indent="1"/>
    </xf>
    <xf numFmtId="10" fontId="32" fillId="0" borderId="0" xfId="0" applyNumberFormat="1" applyFont="1" applyFill="1" applyBorder="1" applyAlignment="1">
      <alignment horizontal="right" vertical="center" indent="1"/>
    </xf>
    <xf numFmtId="0" fontId="32" fillId="0" borderId="0" xfId="0" applyFont="1" applyFill="1" applyBorder="1" applyAlignment="1">
      <alignment horizontal="right" vertical="center" indent="1"/>
    </xf>
    <xf numFmtId="0" fontId="74" fillId="0" borderId="0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165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emf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emf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231</xdr:row>
      <xdr:rowOff>0</xdr:rowOff>
    </xdr:from>
    <xdr:to>
      <xdr:col>10</xdr:col>
      <xdr:colOff>191484</xdr:colOff>
      <xdr:row>251</xdr:row>
      <xdr:rowOff>181532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EE2E0E8-683F-4A26-9D0C-704694E3D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36004500"/>
          <a:ext cx="7049484" cy="3991532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219075</xdr:colOff>
      <xdr:row>380</xdr:row>
      <xdr:rowOff>76200</xdr:rowOff>
    </xdr:from>
    <xdr:to>
      <xdr:col>10</xdr:col>
      <xdr:colOff>38100</xdr:colOff>
      <xdr:row>410</xdr:row>
      <xdr:rowOff>104775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CA3B745-C0AF-4288-B41E-F8F7A66C9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63893700"/>
          <a:ext cx="6677025" cy="574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549</xdr:row>
      <xdr:rowOff>0</xdr:rowOff>
    </xdr:from>
    <xdr:to>
      <xdr:col>11</xdr:col>
      <xdr:colOff>10590</xdr:colOff>
      <xdr:row>581</xdr:row>
      <xdr:rowOff>851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AF514A6-57E2-4724-A42D-4B1A0DDF5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1475" y="77914500"/>
          <a:ext cx="7630590" cy="609685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639</xdr:row>
      <xdr:rowOff>0</xdr:rowOff>
    </xdr:from>
    <xdr:to>
      <xdr:col>1</xdr:col>
      <xdr:colOff>714475</xdr:colOff>
      <xdr:row>645</xdr:row>
      <xdr:rowOff>171633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A0492886-CF16-43FB-89B7-1DF7963C2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1475" y="94869000"/>
          <a:ext cx="714475" cy="131463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650</xdr:row>
      <xdr:rowOff>0</xdr:rowOff>
    </xdr:from>
    <xdr:to>
      <xdr:col>9</xdr:col>
      <xdr:colOff>704850</xdr:colOff>
      <xdr:row>697</xdr:row>
      <xdr:rowOff>47625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9CF7973-6815-4208-8F21-3F51B8C1D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96964500"/>
          <a:ext cx="6800850" cy="900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702</xdr:row>
      <xdr:rowOff>0</xdr:rowOff>
    </xdr:from>
    <xdr:to>
      <xdr:col>14</xdr:col>
      <xdr:colOff>619125</xdr:colOff>
      <xdr:row>741</xdr:row>
      <xdr:rowOff>122426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D204D144-1EEB-41D1-B0B1-80812C73A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106870500"/>
          <a:ext cx="10525125" cy="7551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142876</xdr:colOff>
      <xdr:row>37</xdr:row>
      <xdr:rowOff>66675</xdr:rowOff>
    </xdr:from>
    <xdr:to>
      <xdr:col>9</xdr:col>
      <xdr:colOff>695326</xdr:colOff>
      <xdr:row>77</xdr:row>
      <xdr:rowOff>140430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13A82FD-6816-462F-AF5A-502D5B403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8162925"/>
          <a:ext cx="6648450" cy="7693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352426</xdr:colOff>
      <xdr:row>84</xdr:row>
      <xdr:rowOff>28575</xdr:rowOff>
    </xdr:from>
    <xdr:to>
      <xdr:col>9</xdr:col>
      <xdr:colOff>76201</xdr:colOff>
      <xdr:row>117</xdr:row>
      <xdr:rowOff>12058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140A21DB-B948-469C-894E-0D3DCBA8D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6" y="17221200"/>
          <a:ext cx="6191250" cy="6269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47626</xdr:colOff>
      <xdr:row>120</xdr:row>
      <xdr:rowOff>171450</xdr:rowOff>
    </xdr:from>
    <xdr:to>
      <xdr:col>15</xdr:col>
      <xdr:colOff>485776</xdr:colOff>
      <xdr:row>141</xdr:row>
      <xdr:rowOff>18689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166DB2E9-DE1F-4FBC-9065-88184C4CF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1" y="24222075"/>
          <a:ext cx="11106150" cy="3847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342901</xdr:colOff>
      <xdr:row>142</xdr:row>
      <xdr:rowOff>171451</xdr:rowOff>
    </xdr:from>
    <xdr:to>
      <xdr:col>17</xdr:col>
      <xdr:colOff>206286</xdr:colOff>
      <xdr:row>165</xdr:row>
      <xdr:rowOff>95251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47CCF4C2-AC1A-4F30-8FCB-6801D7569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28413076"/>
          <a:ext cx="12426860" cy="430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257175</xdr:colOff>
      <xdr:row>173</xdr:row>
      <xdr:rowOff>171450</xdr:rowOff>
    </xdr:from>
    <xdr:to>
      <xdr:col>18</xdr:col>
      <xdr:colOff>666750</xdr:colOff>
      <xdr:row>198</xdr:row>
      <xdr:rowOff>104775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4BF88ED5-376D-401A-B50B-9FDF7E415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4318575"/>
          <a:ext cx="13735050" cy="469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161924</xdr:colOff>
      <xdr:row>205</xdr:row>
      <xdr:rowOff>123825</xdr:rowOff>
    </xdr:from>
    <xdr:to>
      <xdr:col>16</xdr:col>
      <xdr:colOff>89570</xdr:colOff>
      <xdr:row>226</xdr:row>
      <xdr:rowOff>133350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3D039F5-42B0-415A-9A6E-8F0A9DF04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4" y="40176450"/>
          <a:ext cx="11729121" cy="401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361950</xdr:colOff>
      <xdr:row>259</xdr:row>
      <xdr:rowOff>123825</xdr:rowOff>
    </xdr:from>
    <xdr:to>
      <xdr:col>12</xdr:col>
      <xdr:colOff>28575</xdr:colOff>
      <xdr:row>278</xdr:row>
      <xdr:rowOff>161925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A8D0C040-1394-408D-94B3-831437DF4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0272950"/>
          <a:ext cx="8420100" cy="3657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284</xdr:row>
      <xdr:rowOff>47625</xdr:rowOff>
    </xdr:from>
    <xdr:to>
      <xdr:col>16</xdr:col>
      <xdr:colOff>619125</xdr:colOff>
      <xdr:row>306</xdr:row>
      <xdr:rowOff>21646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FC8E6D31-C0C5-4BB8-B57D-B9D1601B5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4959250"/>
          <a:ext cx="12182475" cy="41650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312</xdr:row>
      <xdr:rowOff>47625</xdr:rowOff>
    </xdr:from>
    <xdr:to>
      <xdr:col>16</xdr:col>
      <xdr:colOff>133350</xdr:colOff>
      <xdr:row>333</xdr:row>
      <xdr:rowOff>46066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D6CEC96A-91A6-41E8-A2D9-72ED98955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9912250"/>
          <a:ext cx="11696700" cy="3998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257175</xdr:colOff>
      <xdr:row>337</xdr:row>
      <xdr:rowOff>161925</xdr:rowOff>
    </xdr:from>
    <xdr:to>
      <xdr:col>15</xdr:col>
      <xdr:colOff>679254</xdr:colOff>
      <xdr:row>374</xdr:row>
      <xdr:rowOff>76200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D1EFB82A-AB09-460B-B860-12FE4E7D9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64789050"/>
          <a:ext cx="11461554" cy="6962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361950</xdr:colOff>
      <xdr:row>415</xdr:row>
      <xdr:rowOff>19050</xdr:rowOff>
    </xdr:from>
    <xdr:to>
      <xdr:col>13</xdr:col>
      <xdr:colOff>28575</xdr:colOff>
      <xdr:row>434</xdr:row>
      <xdr:rowOff>57150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74B17240-0EFD-4B65-96EF-AAE1C9DD3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79505175"/>
          <a:ext cx="9182100" cy="3657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304800</xdr:colOff>
      <xdr:row>436</xdr:row>
      <xdr:rowOff>114300</xdr:rowOff>
    </xdr:from>
    <xdr:to>
      <xdr:col>12</xdr:col>
      <xdr:colOff>563233</xdr:colOff>
      <xdr:row>461</xdr:row>
      <xdr:rowOff>29228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D074FC-6C08-42E4-8A3A-C33D31883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04800" y="83600925"/>
          <a:ext cx="9011908" cy="467742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512</xdr:row>
      <xdr:rowOff>0</xdr:rowOff>
    </xdr:from>
    <xdr:to>
      <xdr:col>10</xdr:col>
      <xdr:colOff>152400</xdr:colOff>
      <xdr:row>543</xdr:row>
      <xdr:rowOff>171450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EE68CE2-1E53-457D-B5BB-08564E9EE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92011500"/>
          <a:ext cx="6972300" cy="6076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584</xdr:row>
      <xdr:rowOff>171450</xdr:rowOff>
    </xdr:from>
    <xdr:to>
      <xdr:col>10</xdr:col>
      <xdr:colOff>400269</xdr:colOff>
      <xdr:row>625</xdr:row>
      <xdr:rowOff>85725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8880AAF9-4136-4CA0-AFC6-3F3AE92C0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5898950"/>
          <a:ext cx="7439244" cy="772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747</xdr:row>
      <xdr:rowOff>1</xdr:rowOff>
    </xdr:from>
    <xdr:to>
      <xdr:col>16</xdr:col>
      <xdr:colOff>180975</xdr:colOff>
      <xdr:row>786</xdr:row>
      <xdr:rowOff>133351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DCF6589A-56E7-439F-BF6D-0682315C4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71475" y="136921876"/>
          <a:ext cx="11610975" cy="756285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467</xdr:row>
      <xdr:rowOff>38100</xdr:rowOff>
    </xdr:from>
    <xdr:to>
      <xdr:col>11</xdr:col>
      <xdr:colOff>600075</xdr:colOff>
      <xdr:row>496</xdr:row>
      <xdr:rowOff>152400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774F9A7E-5583-4CD5-8CA5-708F491E1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89430225"/>
          <a:ext cx="8105775" cy="563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2</xdr:col>
      <xdr:colOff>171450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B8F497-1548-48B8-8FE4-AE55A8EC7A0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885825</xdr:colOff>
      <xdr:row>1</xdr:row>
      <xdr:rowOff>809625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2000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190499</xdr:rowOff>
    </xdr:from>
    <xdr:to>
      <xdr:col>2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8DBECB-344D-422F-8D04-AC1C7369AF9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190499</xdr:rowOff>
    </xdr:from>
    <xdr:to>
      <xdr:col>2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4E207B-601F-4595-9048-16A926C2793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190499</xdr:rowOff>
    </xdr:from>
    <xdr:to>
      <xdr:col>2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8E2D31-9D51-4957-A02E-AE8A10BA722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190499</xdr:rowOff>
    </xdr:from>
    <xdr:to>
      <xdr:col>2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516F07-E892-4F8E-A7CC-FBCCA22D17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190499</xdr:rowOff>
    </xdr:from>
    <xdr:to>
      <xdr:col>2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07CA25-02CC-4559-8140-2322C933BB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190499</xdr:rowOff>
    </xdr:from>
    <xdr:to>
      <xdr:col>2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EB72AC-F53C-48CB-B5FF-461A0CFCC38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190499</xdr:rowOff>
    </xdr:from>
    <xdr:to>
      <xdr:col>2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A4E60D-EC89-4269-B6A6-56692035226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80975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148167</xdr:colOff>
      <xdr:row>2</xdr:row>
      <xdr:rowOff>179916</xdr:rowOff>
    </xdr:from>
    <xdr:to>
      <xdr:col>2</xdr:col>
      <xdr:colOff>1033992</xdr:colOff>
      <xdr:row>7</xdr:row>
      <xdr:rowOff>37041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A0C3C0-9778-4288-B34C-D03BF2B39BD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328084" y="1322916"/>
          <a:ext cx="1436158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148167</xdr:colOff>
      <xdr:row>2</xdr:row>
      <xdr:rowOff>179916</xdr:rowOff>
    </xdr:from>
    <xdr:to>
      <xdr:col>2</xdr:col>
      <xdr:colOff>1033992</xdr:colOff>
      <xdr:row>7</xdr:row>
      <xdr:rowOff>37041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E233B1-DC3A-4159-9705-45E5C4FFC5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329142" y="1322916"/>
          <a:ext cx="1432983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BA47-842C-4C75-BA95-1DBEFEBA2452}">
  <sheetPr codeName="Hoja2">
    <pageSetUpPr fitToPage="1"/>
  </sheetPr>
  <dimension ref="B2:M17"/>
  <sheetViews>
    <sheetView workbookViewId="0">
      <selection activeCell="I22" sqref="I22"/>
    </sheetView>
  </sheetViews>
  <sheetFormatPr baseColWidth="10" defaultRowHeight="15" x14ac:dyDescent="0.25"/>
  <cols>
    <col min="2" max="2" width="8.7109375" customWidth="1"/>
    <col min="3" max="3" width="79.140625" customWidth="1"/>
    <col min="4" max="4" width="2.7109375" customWidth="1"/>
    <col min="5" max="5" width="15.7109375" customWidth="1"/>
    <col min="6" max="6" width="5.7109375" customWidth="1"/>
    <col min="7" max="7" width="15.7109375" customWidth="1"/>
    <col min="8" max="8" width="2.7109375" customWidth="1"/>
  </cols>
  <sheetData>
    <row r="2" spans="2:13" ht="48" customHeight="1" x14ac:dyDescent="0.25">
      <c r="C2" s="30" t="s">
        <v>42</v>
      </c>
      <c r="D2" s="25"/>
      <c r="E2" s="42"/>
      <c r="F2" s="25"/>
      <c r="G2" s="25"/>
      <c r="H2" s="25"/>
      <c r="I2" s="25"/>
      <c r="J2" s="25"/>
      <c r="K2" s="25"/>
      <c r="L2" s="25"/>
      <c r="M2" s="25"/>
    </row>
    <row r="4" spans="2:13" x14ac:dyDescent="0.25">
      <c r="B4" t="s">
        <v>30</v>
      </c>
    </row>
    <row r="5" spans="2:13" ht="15.75" thickBot="1" x14ac:dyDescent="0.3"/>
    <row r="6" spans="2:13" ht="45.75" thickBot="1" x14ac:dyDescent="0.3">
      <c r="B6" s="96" t="s">
        <v>40</v>
      </c>
      <c r="C6" s="96" t="s">
        <v>41</v>
      </c>
      <c r="D6" s="97"/>
      <c r="E6" s="98" t="s">
        <v>381</v>
      </c>
      <c r="F6" s="99"/>
      <c r="G6" s="93" t="s">
        <v>384</v>
      </c>
      <c r="H6" s="99"/>
      <c r="I6" s="100" t="s">
        <v>382</v>
      </c>
      <c r="J6" s="94"/>
    </row>
    <row r="7" spans="2:13" ht="15.75" thickBot="1" x14ac:dyDescent="0.3">
      <c r="B7" s="49">
        <v>1</v>
      </c>
      <c r="C7" s="26" t="s">
        <v>31</v>
      </c>
      <c r="E7" s="91">
        <v>40800</v>
      </c>
      <c r="G7" s="266">
        <f>+TRUNC('L1 ANDA EXTR Ceuta Melilla'!$G$18,2)</f>
        <v>0</v>
      </c>
      <c r="H7" s="263"/>
      <c r="I7" s="264">
        <f>+IF(LEN(G7)&gt;0,+(G7-E7)/E7,"")</f>
        <v>-1</v>
      </c>
      <c r="J7" s="94"/>
    </row>
    <row r="8" spans="2:13" ht="15.75" thickBot="1" x14ac:dyDescent="0.3">
      <c r="B8" s="49">
        <v>2</v>
      </c>
      <c r="C8" s="26" t="s">
        <v>32</v>
      </c>
      <c r="E8" s="90">
        <v>28400</v>
      </c>
      <c r="G8" s="267">
        <f>+TRUNC('L2 ARAG NAVA RIOJ PVASC'!$G$18,2)</f>
        <v>0</v>
      </c>
      <c r="H8" s="263"/>
      <c r="I8" s="264">
        <f t="shared" ref="I8:I15" si="0">+IF(LEN(G8)&gt;0,+(G8-E8)/E8,"")</f>
        <v>-1</v>
      </c>
      <c r="J8" s="94"/>
    </row>
    <row r="9" spans="2:13" ht="15.75" thickBot="1" x14ac:dyDescent="0.3">
      <c r="B9" s="49">
        <v>3</v>
      </c>
      <c r="C9" s="26" t="s">
        <v>33</v>
      </c>
      <c r="E9" s="90">
        <v>77100</v>
      </c>
      <c r="G9" s="267">
        <f>+TRUNC('L3 MADR (Prado Rey)'!$G$18,2)</f>
        <v>0</v>
      </c>
      <c r="H9" s="263"/>
      <c r="I9" s="264">
        <f t="shared" si="0"/>
        <v>-1</v>
      </c>
      <c r="J9" s="94"/>
    </row>
    <row r="10" spans="2:13" ht="15.75" thickBot="1" x14ac:dyDescent="0.3">
      <c r="B10" s="49">
        <v>4</v>
      </c>
      <c r="C10" s="26" t="s">
        <v>34</v>
      </c>
      <c r="E10" s="90">
        <v>44800</v>
      </c>
      <c r="G10" s="267">
        <f>+TRUNC('L4 MADR (TorreEspaña y resto)'!$G$18,2)</f>
        <v>0</v>
      </c>
      <c r="H10" s="263"/>
      <c r="I10" s="264">
        <f t="shared" si="0"/>
        <v>-1</v>
      </c>
      <c r="J10" s="94"/>
    </row>
    <row r="11" spans="2:13" ht="15.75" thickBot="1" x14ac:dyDescent="0.3">
      <c r="B11" s="49">
        <v>5</v>
      </c>
      <c r="C11" s="26" t="s">
        <v>35</v>
      </c>
      <c r="E11" s="90">
        <v>31000</v>
      </c>
      <c r="G11" s="267">
        <f>+TRUNC('L5 VALE CMAN BALE MURC'!$G$18,2)</f>
        <v>0</v>
      </c>
      <c r="H11" s="263"/>
      <c r="I11" s="264">
        <f t="shared" si="0"/>
        <v>-1</v>
      </c>
      <c r="J11" s="94"/>
    </row>
    <row r="12" spans="2:13" ht="15.75" thickBot="1" x14ac:dyDescent="0.3">
      <c r="B12" s="49">
        <v>6</v>
      </c>
      <c r="C12" s="26" t="s">
        <v>36</v>
      </c>
      <c r="E12" s="90">
        <v>28400</v>
      </c>
      <c r="G12" s="267">
        <f>+TRUNC('L6 CANT CLEON ASTU'!$G$18,2)</f>
        <v>0</v>
      </c>
      <c r="H12" s="263"/>
      <c r="I12" s="264">
        <f t="shared" si="0"/>
        <v>-1</v>
      </c>
      <c r="J12" s="94"/>
    </row>
    <row r="13" spans="2:13" ht="15.75" thickBot="1" x14ac:dyDescent="0.3">
      <c r="B13" s="49">
        <v>7</v>
      </c>
      <c r="C13" s="26" t="s">
        <v>37</v>
      </c>
      <c r="E13" s="90">
        <v>50300</v>
      </c>
      <c r="G13" s="267">
        <f>+TRUNC('L7 CATAL'!$G$18,2)</f>
        <v>0</v>
      </c>
      <c r="H13" s="263"/>
      <c r="I13" s="264">
        <f t="shared" si="0"/>
        <v>-1</v>
      </c>
      <c r="J13" s="94"/>
    </row>
    <row r="14" spans="2:13" ht="15.75" thickBot="1" x14ac:dyDescent="0.3">
      <c r="B14" s="49">
        <v>8</v>
      </c>
      <c r="C14" s="26" t="s">
        <v>38</v>
      </c>
      <c r="E14" s="90">
        <v>25700</v>
      </c>
      <c r="G14" s="267">
        <f>+TRUNC('L8 GALIC'!$G$18,2)</f>
        <v>0</v>
      </c>
      <c r="H14" s="263"/>
      <c r="I14" s="264">
        <f t="shared" si="0"/>
        <v>-1</v>
      </c>
      <c r="J14" s="94"/>
    </row>
    <row r="15" spans="2:13" ht="15.75" thickBot="1" x14ac:dyDescent="0.3">
      <c r="B15" s="49">
        <v>9</v>
      </c>
      <c r="C15" s="26" t="s">
        <v>39</v>
      </c>
      <c r="E15" s="90">
        <v>10300</v>
      </c>
      <c r="G15" s="266">
        <f>+TRUNC('L9 CANAR'!$G$18,2)</f>
        <v>0</v>
      </c>
      <c r="H15" s="263"/>
      <c r="I15" s="264">
        <f t="shared" si="0"/>
        <v>-1</v>
      </c>
      <c r="J15" s="95"/>
    </row>
    <row r="16" spans="2:13" x14ac:dyDescent="0.25">
      <c r="B16" s="27"/>
      <c r="C16" s="27"/>
      <c r="E16" s="27"/>
      <c r="G16" s="268"/>
      <c r="H16" s="263"/>
      <c r="I16" s="265"/>
      <c r="J16" s="94"/>
    </row>
    <row r="17" spans="2:10" x14ac:dyDescent="0.25">
      <c r="B17" s="27"/>
      <c r="C17" s="28" t="s">
        <v>43</v>
      </c>
      <c r="E17" s="92">
        <f>SUM(E7:E16)</f>
        <v>336800</v>
      </c>
      <c r="G17" s="266">
        <f>+SUM(G7:G15)</f>
        <v>0</v>
      </c>
      <c r="H17" s="263"/>
      <c r="I17" s="264" t="e">
        <f>+IF(LEN(G17)&gt;0,+SUM(I7:I15)/COUNTIFS((G7:G15),"&gt;0"),"")</f>
        <v>#DIV/0!</v>
      </c>
      <c r="J17" s="94" t="s">
        <v>383</v>
      </c>
    </row>
  </sheetData>
  <sheetProtection algorithmName="SHA-512" hashValue="CL5TC6cOaZj3m1tfiOoVdfPyFwSVf/4ArU8+Vl0gSKZpPnp0YrJPzL3Gc/HIjzZ1BUa0+UbFT7988O+gsdHFdA==" saltValue="0krfg2ZhpbBWcUZXvJOb/A==" spinCount="100000" sheet="1" objects="1" scenarios="1" selectLockedCells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73E42-C806-4C40-87AB-8FD43356247D}">
  <sheetPr codeName="Hoja3"/>
  <dimension ref="A2:K790"/>
  <sheetViews>
    <sheetView showGridLines="0" tabSelected="1" workbookViewId="0">
      <pane ySplit="6" topLeftCell="A7" activePane="bottomLeft" state="frozen"/>
      <selection pane="bottomLeft" activeCell="A7" sqref="A7"/>
    </sheetView>
  </sheetViews>
  <sheetFormatPr baseColWidth="10" defaultRowHeight="15" x14ac:dyDescent="0.25"/>
  <cols>
    <col min="1" max="1" width="5.5703125" style="225" customWidth="1"/>
  </cols>
  <sheetData>
    <row r="2" spans="1:2" ht="18.75" x14ac:dyDescent="0.3">
      <c r="B2" s="232" t="s">
        <v>536</v>
      </c>
    </row>
    <row r="3" spans="1:2" ht="18.75" x14ac:dyDescent="0.3">
      <c r="B3" s="232"/>
    </row>
    <row r="4" spans="1:2" ht="18.75" x14ac:dyDescent="0.3">
      <c r="B4" s="232" t="s">
        <v>537</v>
      </c>
    </row>
    <row r="7" spans="1:2" ht="26.25" x14ac:dyDescent="0.4">
      <c r="B7" s="233"/>
    </row>
    <row r="13" spans="1:2" ht="18.75" x14ac:dyDescent="0.3">
      <c r="B13" s="227" t="s">
        <v>512</v>
      </c>
    </row>
    <row r="14" spans="1:2" ht="18.75" x14ac:dyDescent="0.3">
      <c r="B14" s="227"/>
    </row>
    <row r="15" spans="1:2" ht="18.75" x14ac:dyDescent="0.3">
      <c r="A15" s="228" t="s">
        <v>506</v>
      </c>
      <c r="B15" s="227" t="s">
        <v>540</v>
      </c>
    </row>
    <row r="16" spans="1:2" ht="18.75" x14ac:dyDescent="0.3">
      <c r="A16" s="228"/>
      <c r="B16" s="227"/>
    </row>
    <row r="17" spans="1:2" ht="18.75" x14ac:dyDescent="0.3">
      <c r="A17" s="228" t="s">
        <v>507</v>
      </c>
      <c r="B17" s="227" t="s">
        <v>541</v>
      </c>
    </row>
    <row r="18" spans="1:2" ht="18.75" x14ac:dyDescent="0.3">
      <c r="A18" s="228"/>
      <c r="B18" s="227"/>
    </row>
    <row r="19" spans="1:2" ht="18.75" x14ac:dyDescent="0.3">
      <c r="A19" s="228"/>
      <c r="B19" s="227" t="s">
        <v>510</v>
      </c>
    </row>
    <row r="20" spans="1:2" ht="18.75" x14ac:dyDescent="0.3">
      <c r="A20" s="228"/>
      <c r="B20" s="227"/>
    </row>
    <row r="21" spans="1:2" ht="18.75" x14ac:dyDescent="0.3">
      <c r="A21" s="228" t="s">
        <v>508</v>
      </c>
      <c r="B21" s="227" t="s">
        <v>511</v>
      </c>
    </row>
    <row r="22" spans="1:2" ht="18.75" x14ac:dyDescent="0.3">
      <c r="A22" s="228"/>
      <c r="B22" s="227"/>
    </row>
    <row r="23" spans="1:2" ht="18.75" x14ac:dyDescent="0.3">
      <c r="A23" s="228" t="s">
        <v>509</v>
      </c>
      <c r="B23" s="227" t="s">
        <v>574</v>
      </c>
    </row>
    <row r="24" spans="1:2" ht="18.75" x14ac:dyDescent="0.3">
      <c r="B24" s="227"/>
    </row>
    <row r="25" spans="1:2" ht="18.75" x14ac:dyDescent="0.3">
      <c r="B25" s="227" t="s">
        <v>555</v>
      </c>
    </row>
    <row r="26" spans="1:2" ht="18.75" x14ac:dyDescent="0.3">
      <c r="B26" s="227" t="s">
        <v>556</v>
      </c>
    </row>
    <row r="27" spans="1:2" ht="18.75" x14ac:dyDescent="0.3">
      <c r="B27" s="227" t="s">
        <v>557</v>
      </c>
    </row>
    <row r="30" spans="1:2" ht="18.75" x14ac:dyDescent="0.3">
      <c r="B30" s="288"/>
    </row>
    <row r="31" spans="1:2" ht="18.75" x14ac:dyDescent="0.3">
      <c r="B31" s="288" t="s">
        <v>554</v>
      </c>
    </row>
    <row r="32" spans="1:2" ht="18.75" x14ac:dyDescent="0.3">
      <c r="B32" s="288"/>
    </row>
    <row r="33" spans="1:2" ht="18.75" x14ac:dyDescent="0.3">
      <c r="B33" s="288" t="s">
        <v>513</v>
      </c>
    </row>
    <row r="37" spans="1:2" ht="26.25" x14ac:dyDescent="0.4">
      <c r="A37" s="234" t="s">
        <v>506</v>
      </c>
      <c r="B37" s="235" t="s">
        <v>538</v>
      </c>
    </row>
    <row r="81" spans="1:2" ht="26.25" x14ac:dyDescent="0.4">
      <c r="A81" s="234" t="s">
        <v>507</v>
      </c>
      <c r="B81" s="235" t="s">
        <v>539</v>
      </c>
    </row>
    <row r="83" spans="1:2" x14ac:dyDescent="0.25">
      <c r="B83" t="s">
        <v>521</v>
      </c>
    </row>
    <row r="120" spans="2:2" x14ac:dyDescent="0.25">
      <c r="B120" t="s">
        <v>516</v>
      </c>
    </row>
    <row r="143" spans="2:2" x14ac:dyDescent="0.25">
      <c r="B143" t="s">
        <v>558</v>
      </c>
    </row>
    <row r="168" spans="2:2" x14ac:dyDescent="0.25">
      <c r="B168" t="s">
        <v>559</v>
      </c>
    </row>
    <row r="169" spans="2:2" x14ac:dyDescent="0.25">
      <c r="B169" t="s">
        <v>560</v>
      </c>
    </row>
    <row r="170" spans="2:2" x14ac:dyDescent="0.25">
      <c r="B170" t="s">
        <v>545</v>
      </c>
    </row>
    <row r="172" spans="2:2" x14ac:dyDescent="0.25">
      <c r="B172" t="s">
        <v>546</v>
      </c>
    </row>
    <row r="173" spans="2:2" x14ac:dyDescent="0.25">
      <c r="B173" t="s">
        <v>561</v>
      </c>
    </row>
    <row r="201" spans="2:2" x14ac:dyDescent="0.25">
      <c r="B201" t="s">
        <v>562</v>
      </c>
    </row>
    <row r="202" spans="2:2" x14ac:dyDescent="0.25">
      <c r="B202" t="s">
        <v>563</v>
      </c>
    </row>
    <row r="203" spans="2:2" x14ac:dyDescent="0.25">
      <c r="B203" t="s">
        <v>564</v>
      </c>
    </row>
    <row r="205" spans="2:2" x14ac:dyDescent="0.25">
      <c r="B205" t="s">
        <v>565</v>
      </c>
    </row>
    <row r="230" spans="2:2" x14ac:dyDescent="0.25">
      <c r="B230" t="s">
        <v>517</v>
      </c>
    </row>
    <row r="255" spans="2:2" x14ac:dyDescent="0.25">
      <c r="B255" t="s">
        <v>566</v>
      </c>
    </row>
    <row r="256" spans="2:2" x14ac:dyDescent="0.25">
      <c r="B256" t="s">
        <v>567</v>
      </c>
    </row>
    <row r="258" spans="2:2" x14ac:dyDescent="0.25">
      <c r="B258" t="s">
        <v>568</v>
      </c>
    </row>
    <row r="283" spans="2:2" x14ac:dyDescent="0.25">
      <c r="B283" t="s">
        <v>547</v>
      </c>
    </row>
    <row r="284" spans="2:2" x14ac:dyDescent="0.25">
      <c r="B284" t="s">
        <v>519</v>
      </c>
    </row>
    <row r="309" spans="2:2" x14ac:dyDescent="0.25">
      <c r="B309" t="s">
        <v>518</v>
      </c>
    </row>
    <row r="310" spans="2:2" x14ac:dyDescent="0.25">
      <c r="B310" t="s">
        <v>569</v>
      </c>
    </row>
    <row r="311" spans="2:2" x14ac:dyDescent="0.25">
      <c r="B311" t="s">
        <v>570</v>
      </c>
    </row>
    <row r="336" spans="2:2" x14ac:dyDescent="0.25">
      <c r="B336" t="s">
        <v>571</v>
      </c>
    </row>
    <row r="337" spans="2:2" x14ac:dyDescent="0.25">
      <c r="B337" t="s">
        <v>572</v>
      </c>
    </row>
    <row r="378" spans="2:2" x14ac:dyDescent="0.25">
      <c r="B378" t="s">
        <v>520</v>
      </c>
    </row>
    <row r="414" spans="2:2" x14ac:dyDescent="0.25">
      <c r="B414" t="s">
        <v>573</v>
      </c>
    </row>
    <row r="436" spans="2:2" x14ac:dyDescent="0.25">
      <c r="B436" t="s">
        <v>549</v>
      </c>
    </row>
    <row r="464" spans="2:2" x14ac:dyDescent="0.25">
      <c r="B464" t="s">
        <v>550</v>
      </c>
    </row>
    <row r="466" spans="2:2" x14ac:dyDescent="0.25">
      <c r="B466" s="129" t="s">
        <v>553</v>
      </c>
    </row>
    <row r="500" spans="1:11" x14ac:dyDescent="0.25">
      <c r="B500" s="281" t="s">
        <v>548</v>
      </c>
    </row>
    <row r="502" spans="1:11" x14ac:dyDescent="0.25">
      <c r="B502" s="281" t="s">
        <v>551</v>
      </c>
      <c r="C502" s="281"/>
      <c r="D502" s="281"/>
      <c r="E502" s="281"/>
      <c r="F502" s="281"/>
      <c r="G502" s="281"/>
      <c r="H502" s="281"/>
      <c r="I502" s="281"/>
      <c r="J502" s="281"/>
      <c r="K502" s="281"/>
    </row>
    <row r="503" spans="1:11" x14ac:dyDescent="0.25">
      <c r="B503" s="281"/>
      <c r="C503" s="281"/>
      <c r="D503" s="281"/>
      <c r="E503" s="281"/>
      <c r="F503" s="281"/>
      <c r="G503" s="281"/>
      <c r="H503" s="281"/>
      <c r="I503" s="281"/>
      <c r="J503" s="281"/>
      <c r="K503" s="281"/>
    </row>
    <row r="504" spans="1:11" x14ac:dyDescent="0.25">
      <c r="B504" s="281" t="s">
        <v>552</v>
      </c>
      <c r="C504" s="281"/>
      <c r="D504" s="281"/>
      <c r="E504" s="281"/>
      <c r="F504" s="281"/>
      <c r="G504" s="281"/>
      <c r="H504" s="281"/>
      <c r="I504" s="281"/>
      <c r="J504" s="281"/>
      <c r="K504" s="281"/>
    </row>
    <row r="509" spans="1:11" ht="26.25" x14ac:dyDescent="0.4">
      <c r="A509" s="234" t="s">
        <v>508</v>
      </c>
      <c r="B509" s="235" t="s">
        <v>511</v>
      </c>
    </row>
    <row r="511" spans="1:11" x14ac:dyDescent="0.25">
      <c r="B511" t="s">
        <v>522</v>
      </c>
    </row>
    <row r="547" spans="2:2" x14ac:dyDescent="0.25">
      <c r="B547" t="s">
        <v>523</v>
      </c>
    </row>
    <row r="584" spans="2:2" x14ac:dyDescent="0.25">
      <c r="B584" t="s">
        <v>524</v>
      </c>
    </row>
    <row r="631" spans="1:2" x14ac:dyDescent="0.25">
      <c r="B631" t="s">
        <v>525</v>
      </c>
    </row>
    <row r="634" spans="1:2" ht="26.25" x14ac:dyDescent="0.4">
      <c r="A634" s="234" t="s">
        <v>509</v>
      </c>
      <c r="B634" s="235" t="s">
        <v>574</v>
      </c>
    </row>
    <row r="636" spans="1:2" x14ac:dyDescent="0.25">
      <c r="B636" t="s">
        <v>575</v>
      </c>
    </row>
    <row r="638" spans="1:2" x14ac:dyDescent="0.25">
      <c r="B638" t="s">
        <v>526</v>
      </c>
    </row>
    <row r="649" spans="2:2" x14ac:dyDescent="0.25">
      <c r="B649" t="s">
        <v>527</v>
      </c>
    </row>
    <row r="700" spans="2:2" x14ac:dyDescent="0.25">
      <c r="B700" t="s">
        <v>528</v>
      </c>
    </row>
    <row r="745" spans="2:2" x14ac:dyDescent="0.25">
      <c r="B745" t="s">
        <v>529</v>
      </c>
    </row>
    <row r="789" spans="2:2" x14ac:dyDescent="0.25">
      <c r="B789" s="97" t="s">
        <v>577</v>
      </c>
    </row>
    <row r="790" spans="2:2" x14ac:dyDescent="0.25">
      <c r="B790" s="97" t="s">
        <v>576</v>
      </c>
    </row>
  </sheetData>
  <sheetProtection algorithmName="SHA-512" hashValue="CB0ddT/+jklxHH7fwcHz4nYlU3DKYBwPAH1Qun9vc+sj6FJquMMbV1iu4NcqxMR0GmbUY1/SQZx+eEOlSZc+zg==" saltValue="Sp5xBlN5X2TEANvQ3TFL2w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2F5A-C031-4662-9281-3B280464F8A6}">
  <sheetPr codeName="Hoja4">
    <pageSetUpPr fitToPage="1"/>
  </sheetPr>
  <dimension ref="A2:L62"/>
  <sheetViews>
    <sheetView showGridLines="0" zoomScale="90" zoomScaleNormal="90" workbookViewId="0">
      <pane ySplit="8" topLeftCell="A9" activePane="bottomLeft" state="frozen"/>
      <selection activeCell="H47" sqref="H47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0.7109375" style="2" customWidth="1"/>
    <col min="3" max="3" width="20.140625" style="2" customWidth="1"/>
    <col min="4" max="4" width="10.7109375" style="2" customWidth="1"/>
    <col min="5" max="5" width="15.7109375" style="2" customWidth="1"/>
    <col min="6" max="6" width="14" style="2" customWidth="1"/>
    <col min="7" max="7" width="5.7109375" style="2" customWidth="1"/>
    <col min="8" max="8" width="12.42578125" style="2" bestFit="1" customWidth="1"/>
    <col min="9" max="10" width="11.42578125" style="2"/>
    <col min="11" max="11" width="1.7109375" style="2" customWidth="1"/>
    <col min="12" max="12" width="11.85546875" style="2" bestFit="1" customWidth="1"/>
    <col min="13" max="16384" width="11.42578125" style="2"/>
  </cols>
  <sheetData>
    <row r="2" spans="1:10" s="1" customFormat="1" ht="75" customHeight="1" x14ac:dyDescent="0.25">
      <c r="A2" s="292" t="s">
        <v>45</v>
      </c>
      <c r="B2" s="292"/>
      <c r="C2" s="292"/>
      <c r="D2" s="292"/>
      <c r="E2" s="292"/>
      <c r="F2" s="292"/>
      <c r="G2" s="292"/>
      <c r="H2" s="292"/>
      <c r="I2" s="292"/>
      <c r="J2" s="292"/>
    </row>
    <row r="5" spans="1:10" x14ac:dyDescent="0.25">
      <c r="D5" s="3"/>
      <c r="E5" s="3"/>
      <c r="F5" s="4"/>
      <c r="G5" s="3"/>
      <c r="H5" s="4"/>
      <c r="I5" s="4"/>
      <c r="J5" s="13" t="s">
        <v>50</v>
      </c>
    </row>
    <row r="6" spans="1:10" x14ac:dyDescent="0.25">
      <c r="D6" s="3"/>
      <c r="E6" s="3"/>
      <c r="F6" s="4"/>
      <c r="G6" s="3"/>
      <c r="H6" s="4"/>
      <c r="I6" s="4"/>
      <c r="J6" s="13"/>
    </row>
    <row r="7" spans="1:10" x14ac:dyDescent="0.25">
      <c r="D7" s="3"/>
      <c r="E7" s="3"/>
      <c r="F7" s="4"/>
      <c r="G7" s="3"/>
      <c r="H7" s="4"/>
      <c r="I7" s="4"/>
      <c r="J7" s="13" t="s">
        <v>18</v>
      </c>
    </row>
    <row r="8" spans="1:10" ht="24.95" customHeight="1" x14ac:dyDescent="0.25"/>
    <row r="9" spans="1:10" ht="18.75" x14ac:dyDescent="0.3">
      <c r="A9" s="293" t="s">
        <v>0</v>
      </c>
      <c r="B9" s="293"/>
      <c r="C9" s="293"/>
      <c r="D9" s="293"/>
      <c r="E9" s="293"/>
      <c r="F9" s="293"/>
      <c r="G9" s="293"/>
      <c r="H9" s="293"/>
      <c r="I9" s="293"/>
      <c r="J9" s="293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294"/>
      <c r="C12" s="294"/>
      <c r="D12" s="294"/>
      <c r="E12" s="294"/>
      <c r="F12" s="295" t="s">
        <v>2</v>
      </c>
      <c r="G12" s="295"/>
      <c r="H12" s="295"/>
      <c r="I12" s="296"/>
      <c r="J12" s="296"/>
    </row>
    <row r="13" spans="1:10" x14ac:dyDescent="0.25">
      <c r="A13" s="297" t="s">
        <v>3</v>
      </c>
      <c r="B13" s="297"/>
      <c r="C13" s="297"/>
      <c r="D13" s="297"/>
      <c r="E13" s="297"/>
      <c r="F13" s="297"/>
      <c r="G13" s="297"/>
      <c r="H13" s="297"/>
      <c r="I13" s="297"/>
      <c r="J13" s="133"/>
    </row>
    <row r="14" spans="1:10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3"/>
    </row>
    <row r="15" spans="1:10" ht="30" customHeight="1" x14ac:dyDescent="0.25">
      <c r="A15" s="298" t="s">
        <v>14</v>
      </c>
      <c r="B15" s="298"/>
      <c r="C15" s="298"/>
      <c r="D15" s="298"/>
      <c r="E15" s="299"/>
      <c r="F15" s="299"/>
      <c r="G15" s="299"/>
      <c r="H15" s="299"/>
      <c r="I15" s="299"/>
      <c r="J15" s="299"/>
    </row>
    <row r="16" spans="1:10" x14ac:dyDescent="0.25">
      <c r="B16" s="5"/>
      <c r="C16" s="5"/>
      <c r="D16" s="5"/>
      <c r="E16" s="5"/>
      <c r="F16" s="5" t="s">
        <v>4</v>
      </c>
      <c r="G16" s="5"/>
      <c r="H16" s="5"/>
      <c r="I16" s="5"/>
      <c r="J16" s="1"/>
    </row>
    <row r="17" spans="1:10" x14ac:dyDescent="0.25">
      <c r="B17" s="5"/>
      <c r="C17" s="5"/>
      <c r="D17" s="5"/>
      <c r="E17" s="5"/>
      <c r="F17" s="5"/>
      <c r="G17" s="5"/>
      <c r="H17" s="5"/>
      <c r="I17" s="5"/>
      <c r="J17" s="1"/>
    </row>
    <row r="18" spans="1:10" ht="30" customHeight="1" x14ac:dyDescent="0.25">
      <c r="A18" s="1" t="s">
        <v>5</v>
      </c>
      <c r="B18" s="131"/>
      <c r="C18" s="1" t="s">
        <v>6</v>
      </c>
      <c r="D18" s="300"/>
      <c r="E18" s="300"/>
      <c r="F18" s="300"/>
      <c r="G18" s="300"/>
      <c r="H18" s="300"/>
      <c r="I18" s="300"/>
      <c r="J18" s="300"/>
    </row>
    <row r="19" spans="1:10" s="6" customFormat="1" x14ac:dyDescent="0.25">
      <c r="B19" s="7"/>
      <c r="C19" s="8"/>
      <c r="D19" s="8"/>
      <c r="E19" s="9"/>
      <c r="F19" s="9"/>
      <c r="G19" s="8"/>
      <c r="H19" s="9"/>
      <c r="I19" s="9"/>
      <c r="J19" s="9"/>
    </row>
    <row r="20" spans="1:10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" customHeight="1" x14ac:dyDescent="0.25">
      <c r="A22" s="301" t="s">
        <v>15</v>
      </c>
      <c r="B22" s="301"/>
      <c r="C22" s="301"/>
      <c r="D22" s="301"/>
      <c r="E22" s="301"/>
      <c r="F22" s="301"/>
      <c r="G22" s="301"/>
      <c r="H22" s="301"/>
      <c r="I22" s="301"/>
      <c r="J22" s="301"/>
    </row>
    <row r="23" spans="1:10" ht="15" customHeight="1" x14ac:dyDescent="0.25">
      <c r="A23" s="301" t="s">
        <v>16</v>
      </c>
      <c r="B23" s="301"/>
      <c r="C23" s="301"/>
      <c r="D23" s="301"/>
      <c r="E23" s="301"/>
      <c r="F23" s="301"/>
      <c r="G23" s="301"/>
      <c r="H23" s="301"/>
      <c r="I23" s="301"/>
      <c r="J23" s="301"/>
    </row>
    <row r="24" spans="1:10" ht="15" customHeight="1" x14ac:dyDescent="0.25">
      <c r="A24" s="291" t="s">
        <v>13</v>
      </c>
      <c r="B24" s="291"/>
      <c r="C24" s="291"/>
      <c r="D24" s="291"/>
      <c r="E24" s="291"/>
      <c r="F24" s="291"/>
      <c r="G24" s="291"/>
      <c r="H24" s="291"/>
      <c r="I24" s="291"/>
      <c r="J24" s="291"/>
    </row>
    <row r="25" spans="1:10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  <c r="I26" s="1"/>
    </row>
    <row r="27" spans="1:10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10" ht="15" customHeight="1" x14ac:dyDescent="0.25">
      <c r="A28" s="1" t="s">
        <v>9</v>
      </c>
      <c r="B28" s="304">
        <f>+IF(ISNUMBER($H$48),IF($H$48&lt;=336800,$H$48,"ERROR: no debe superar 336.800,00 "),"error, falta importe TOTAL OFERTA")</f>
        <v>0</v>
      </c>
      <c r="C28" s="305"/>
      <c r="D28" s="1" t="s">
        <v>10</v>
      </c>
      <c r="E28" s="1"/>
      <c r="F28" s="1"/>
      <c r="G28" s="1"/>
      <c r="H28" s="1"/>
      <c r="I28" s="1"/>
    </row>
    <row r="29" spans="1:10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10" ht="35.1" customHeight="1" x14ac:dyDescent="0.25">
      <c r="A30" s="306" t="s">
        <v>11</v>
      </c>
      <c r="B30" s="306"/>
      <c r="C30" s="306"/>
      <c r="D30" s="306"/>
      <c r="E30" s="306"/>
      <c r="F30" s="306"/>
      <c r="G30" s="306"/>
      <c r="H30" s="306"/>
      <c r="I30" s="306"/>
      <c r="J30" s="306"/>
    </row>
    <row r="31" spans="1:10" ht="9.9499999999999993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</row>
    <row r="32" spans="1:10" ht="35.1" customHeight="1" x14ac:dyDescent="0.25">
      <c r="A32" s="307" t="s">
        <v>46</v>
      </c>
      <c r="B32" s="307"/>
      <c r="C32" s="307"/>
      <c r="D32" s="307"/>
      <c r="E32" s="307"/>
      <c r="F32" s="307"/>
      <c r="G32" s="307"/>
      <c r="H32" s="307"/>
      <c r="I32" s="307"/>
      <c r="J32" s="307"/>
    </row>
    <row r="33" spans="1:12" ht="9.9499999999999993" customHeight="1" x14ac:dyDescent="0.25">
      <c r="A33" s="130"/>
      <c r="B33" s="130"/>
      <c r="C33" s="130"/>
      <c r="D33" s="130"/>
      <c r="E33" s="130"/>
      <c r="F33" s="130"/>
      <c r="G33" s="130"/>
      <c r="H33" s="130"/>
      <c r="I33" s="130"/>
      <c r="J33" s="31"/>
    </row>
    <row r="34" spans="1:12" ht="15" customHeight="1" x14ac:dyDescent="0.25">
      <c r="A34" s="308" t="s">
        <v>47</v>
      </c>
      <c r="B34" s="308"/>
      <c r="C34" s="308"/>
      <c r="D34" s="308"/>
      <c r="E34" s="308"/>
      <c r="F34" s="308"/>
      <c r="G34" s="308"/>
      <c r="H34" s="308"/>
      <c r="I34" s="308"/>
      <c r="J34" s="308"/>
    </row>
    <row r="35" spans="1:12" ht="9.949999999999999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spans="1:12" ht="35.1" customHeight="1" x14ac:dyDescent="0.25">
      <c r="A36" s="307" t="s">
        <v>44</v>
      </c>
      <c r="B36" s="307"/>
      <c r="C36" s="307"/>
      <c r="D36" s="307"/>
      <c r="E36" s="307"/>
      <c r="F36" s="307"/>
      <c r="G36" s="307"/>
      <c r="H36" s="307"/>
      <c r="I36" s="307"/>
      <c r="J36" s="307"/>
    </row>
    <row r="37" spans="1:12" ht="30" customHeight="1" thickBot="1" x14ac:dyDescent="0.3">
      <c r="A37" s="128"/>
      <c r="B37" s="1"/>
      <c r="C37" s="1"/>
      <c r="D37" s="1"/>
      <c r="E37" s="1"/>
      <c r="F37" s="1"/>
      <c r="G37" s="1"/>
      <c r="H37" s="1"/>
      <c r="I37" s="1"/>
      <c r="J37" s="1"/>
    </row>
    <row r="38" spans="1:12" ht="30" customHeight="1" thickBot="1" x14ac:dyDescent="0.3">
      <c r="A38" s="146" t="str">
        <f>+$B$18&amp;"T0_cab"</f>
        <v>T0_cab</v>
      </c>
      <c r="B38" s="32" t="s">
        <v>48</v>
      </c>
      <c r="C38" s="309" t="s">
        <v>51</v>
      </c>
      <c r="D38" s="310"/>
      <c r="E38" s="310"/>
      <c r="F38" s="310"/>
      <c r="G38" s="309" t="s">
        <v>52</v>
      </c>
      <c r="H38" s="310"/>
      <c r="I38" s="311"/>
      <c r="J38" s="1"/>
      <c r="K38" s="1"/>
      <c r="L38" s="1"/>
    </row>
    <row r="39" spans="1:12" ht="30" customHeight="1" thickBot="1" x14ac:dyDescent="0.3">
      <c r="A39" s="146" t="str">
        <f>+$B$18&amp;"T0_L01"</f>
        <v>T0_L01</v>
      </c>
      <c r="B39" s="36">
        <v>1</v>
      </c>
      <c r="C39" s="302" t="str">
        <f>+IF(OR('L1 ANDA EXTR Ceuta Melilla'!G18=0,LEN('L1 ANDA EXTR Ceuta Melilla'!G18)=0),"CCAA Andalucía y Extremadura, Ciudades Autónomas de Ceuta y Melilla",IF(OR('L1 ANDA EXTR Ceuta Melilla'!G18&lt;0,+'L1 ANDA EXTR Ceuta Melilla'!G18/'L1 ANDA EXTR Ceuta Melilla'!G18&lt;&gt;1,'L1 ANDA EXTR Ceuta Melilla'!G18&lt;&gt;TRUNC('L1 ANDA EXTR Ceuta Melilla'!G18,2)),"REVISE IMPORTES OFERTADOS EN LOTE 1","CCAA Andalucía y Extremadura, Ciudades Autónomas de Ceuta y Melilla"))</f>
        <v>CCAA Andalucía y Extremadura, Ciudades Autónomas de Ceuta y Melilla</v>
      </c>
      <c r="D39" s="303"/>
      <c r="E39" s="303"/>
      <c r="F39" s="303"/>
      <c r="G39" s="40"/>
      <c r="H39" s="282" t="str">
        <f>+IF(OR('L1 ANDA EXTR Ceuta Melilla'!G18=0,LEN('L1 ANDA EXTR Ceuta Melilla'!G18)=0),"",IF(OR('L1 ANDA EXTR Ceuta Melilla'!G18&lt;0,+'L1 ANDA EXTR Ceuta Melilla'!G18/'L1 ANDA EXTR Ceuta Melilla'!G18&lt;&gt;1,'L1 ANDA EXTR Ceuta Melilla'!G18&lt;&gt;TRUNC('L1 ANDA EXTR Ceuta Melilla'!G18,2)),"error imp.lote",IF('L1 ANDA EXTR Ceuta Melilla'!G18=SUM('L1 ANDA EXTR Ceuta Melilla'!G13:G17),+'L1 ANDA EXTR Ceuta Melilla'!G18,"")))</f>
        <v/>
      </c>
      <c r="I39" s="41"/>
      <c r="J39" s="33"/>
      <c r="K39" s="1"/>
      <c r="L39" s="1"/>
    </row>
    <row r="40" spans="1:12" ht="30" customHeight="1" thickBot="1" x14ac:dyDescent="0.3">
      <c r="A40" s="146" t="str">
        <f>+$B$18&amp;"T0_L02"</f>
        <v>T0_L02</v>
      </c>
      <c r="B40" s="36">
        <v>2</v>
      </c>
      <c r="C40" s="302" t="str">
        <f>+IF(OR('L2 ARAG NAVA RIOJ PVASC'!G18=0,LEN('L2 ARAG NAVA RIOJ PVASC'!G18)=0),"CCAA Aragón, Navarra, La Rioja y el País Vasco.",IF(OR('L2 ARAG NAVA RIOJ PVASC'!G18&lt;0,+'L2 ARAG NAVA RIOJ PVASC'!G18/'L2 ARAG NAVA RIOJ PVASC'!G18&lt;&gt;1,'L2 ARAG NAVA RIOJ PVASC'!G18&lt;&gt;TRUNC('L2 ARAG NAVA RIOJ PVASC'!G18,2)),"REVISE IMPORTES OFERTADOS EN LOTE 2","CCAA Aragón, Navarra, La Rioja y el País Vasco."))</f>
        <v>CCAA Aragón, Navarra, La Rioja y el País Vasco.</v>
      </c>
      <c r="D40" s="303"/>
      <c r="E40" s="303"/>
      <c r="F40" s="303"/>
      <c r="G40" s="40"/>
      <c r="H40" s="282" t="str">
        <f>+IF(OR('L2 ARAG NAVA RIOJ PVASC'!G18=0,LEN('L2 ARAG NAVA RIOJ PVASC'!G18)=0),"",IF(OR('L2 ARAG NAVA RIOJ PVASC'!G18&lt;0,+'L2 ARAG NAVA RIOJ PVASC'!G18/'L2 ARAG NAVA RIOJ PVASC'!G18&lt;&gt;1,'L2 ARAG NAVA RIOJ PVASC'!G18&lt;&gt;TRUNC('L2 ARAG NAVA RIOJ PVASC'!G18,2)),"error imp.lote",IF('L2 ARAG NAVA RIOJ PVASC'!G18=SUM('L2 ARAG NAVA RIOJ PVASC'!G13:G17),+'L2 ARAG NAVA RIOJ PVASC'!G18,"")))</f>
        <v/>
      </c>
      <c r="I40" s="41"/>
      <c r="J40" s="33"/>
      <c r="K40" s="1"/>
      <c r="L40" s="1"/>
    </row>
    <row r="41" spans="1:12" ht="30" customHeight="1" thickBot="1" x14ac:dyDescent="0.3">
      <c r="A41" s="146" t="str">
        <f>+$B$18&amp;"T0_L03"</f>
        <v>T0_L03</v>
      </c>
      <c r="B41" s="36">
        <v>3</v>
      </c>
      <c r="C41" s="302" t="str">
        <f>+IF(OR('L3 MADR (Prado Rey)'!G18=0,LEN('L3 MADR (Prado Rey)'!G18)=0),"Comunidad de Madrid, sede Prado del Rey",IF(OR('L3 MADR (Prado Rey)'!G18&lt;0,+'L3 MADR (Prado Rey)'!G18/'L3 MADR (Prado Rey)'!G18&lt;&gt;1,'L3 MADR (Prado Rey)'!G18&lt;&gt;TRUNC('L3 MADR (Prado Rey)'!G18,2)),"REVISE IMPORTES OFERTADOS EN LOTE 3","Comunidad de Madrid, sede Prado del Rey"))</f>
        <v>Comunidad de Madrid, sede Prado del Rey</v>
      </c>
      <c r="D41" s="303"/>
      <c r="E41" s="303"/>
      <c r="F41" s="303"/>
      <c r="G41" s="40"/>
      <c r="H41" s="282" t="str">
        <f>+IF(OR('L3 MADR (Prado Rey)'!G18=0,LEN('L3 MADR (Prado Rey)'!G18)=0),"",IF(OR('L3 MADR (Prado Rey)'!G18&lt;0,+'L3 MADR (Prado Rey)'!G18/'L3 MADR (Prado Rey)'!G18&lt;&gt;1,'L3 MADR (Prado Rey)'!G18&lt;&gt;TRUNC('L3 MADR (Prado Rey)'!G18,2)),"error imp.lote",IF('L3 MADR (Prado Rey)'!G18=SUM('L3 MADR (Prado Rey)'!G13:G17),+'L3 MADR (Prado Rey)'!G18,"")))</f>
        <v/>
      </c>
      <c r="I41" s="41"/>
      <c r="J41" s="33"/>
      <c r="K41" s="1"/>
      <c r="L41" s="1"/>
    </row>
    <row r="42" spans="1:12" ht="30" customHeight="1" thickBot="1" x14ac:dyDescent="0.3">
      <c r="A42" s="146" t="str">
        <f>+$B$18&amp;"T0_L04"</f>
        <v>T0_L04</v>
      </c>
      <c r="B42" s="36">
        <v>4</v>
      </c>
      <c r="C42" s="302" t="str">
        <f>+IF(OR('L4 MADR (TorreEspaña y resto)'!G18=0,LEN('L4 MADR (TorreEspaña y resto)'!G18)=0),"Comunidad de Madrid, sede Torrespaña, Dehesa de la Villa (IRTVE), inmuebles sin uso.",IF(OR('L4 MADR (TorreEspaña y resto)'!G18&lt;0,+'L4 MADR (TorreEspaña y resto)'!G18/'L4 MADR (TorreEspaña y resto)'!G18&lt;&gt;1,'L4 MADR (TorreEspaña y resto)'!G18&lt;&gt;TRUNC('L4 MADR (TorreEspaña y resto)'!G18,2)),"REVISE IMPORTES OFERTADOS EN LOTE 4","Comunidad de Madrid, sede Torrespaña, Dehesa de la Villa (IRTVE), inmuebles sin uso."))</f>
        <v>Comunidad de Madrid, sede Torrespaña, Dehesa de la Villa (IRTVE), inmuebles sin uso.</v>
      </c>
      <c r="D42" s="303"/>
      <c r="E42" s="303"/>
      <c r="F42" s="303"/>
      <c r="G42" s="40"/>
      <c r="H42" s="282" t="str">
        <f>+IF(OR('L4 MADR (TorreEspaña y resto)'!G18=0,LEN('L4 MADR (TorreEspaña y resto)'!G18)=0),"",IF(OR('L4 MADR (TorreEspaña y resto)'!G18&lt;0,+'L4 MADR (TorreEspaña y resto)'!G18/'L4 MADR (TorreEspaña y resto)'!G18&lt;&gt;1,'L4 MADR (TorreEspaña y resto)'!G18&lt;&gt;TRUNC('L4 MADR (TorreEspaña y resto)'!G18,2)),"error imp.lote",IF('L4 MADR (TorreEspaña y resto)'!G18=SUM('L4 MADR (TorreEspaña y resto)'!G13:G17),+'L4 MADR (TorreEspaña y resto)'!G18,"")))</f>
        <v/>
      </c>
      <c r="I42" s="41"/>
      <c r="J42" s="33"/>
      <c r="K42" s="1"/>
      <c r="L42" s="1"/>
    </row>
    <row r="43" spans="1:12" ht="30" customHeight="1" thickBot="1" x14ac:dyDescent="0.3">
      <c r="A43" s="146" t="str">
        <f>+$B$18&amp;"T0_L05"</f>
        <v>T0_L05</v>
      </c>
      <c r="B43" s="37">
        <v>5</v>
      </c>
      <c r="C43" s="302" t="str">
        <f>+IF(OR('L5 VALE CMAN BALE MURC'!G18=0,LEN('L5 VALE CMAN BALE MURC'!G18)=0),"CCAA Valencia, Castilla-La Mancha, Illes Balears y Murcia.",IF(OR('L5 VALE CMAN BALE MURC'!G18&lt;0,+'L5 VALE CMAN BALE MURC'!G18/'L5 VALE CMAN BALE MURC'!G18&lt;&gt;1,'L5 VALE CMAN BALE MURC'!G18&lt;&gt;TRUNC('L5 VALE CMAN BALE MURC'!G18,2)),"REVISE IMPORTES OFERTADOS EN LOTE 5","CCAA Valencia, Castilla-La Mancha, Illes Balears y Murcia."))</f>
        <v>CCAA Valencia, Castilla-La Mancha, Illes Balears y Murcia.</v>
      </c>
      <c r="D43" s="303"/>
      <c r="E43" s="303"/>
      <c r="F43" s="303"/>
      <c r="G43" s="40"/>
      <c r="H43" s="282" t="str">
        <f>+IF(OR('L5 VALE CMAN BALE MURC'!G18=0,LEN('L5 VALE CMAN BALE MURC'!G18)=0),"",IF(OR('L5 VALE CMAN BALE MURC'!G18&lt;0,+'L5 VALE CMAN BALE MURC'!G18/'L5 VALE CMAN BALE MURC'!G18&lt;&gt;1,'L5 VALE CMAN BALE MURC'!G18&lt;&gt;TRUNC('L5 VALE CMAN BALE MURC'!G18,2)),"error imp.lote",IF('L5 VALE CMAN BALE MURC'!G18=SUM('L5 VALE CMAN BALE MURC'!G13:G17),+'L5 VALE CMAN BALE MURC'!G18,"")))</f>
        <v/>
      </c>
      <c r="I43" s="41"/>
      <c r="J43" s="33"/>
      <c r="K43" s="1"/>
      <c r="L43" s="1"/>
    </row>
    <row r="44" spans="1:12" ht="30" customHeight="1" thickBot="1" x14ac:dyDescent="0.3">
      <c r="A44" s="146" t="str">
        <f>+$B$18&amp;"T0_L06"</f>
        <v>T0_L06</v>
      </c>
      <c r="B44" s="37">
        <v>6</v>
      </c>
      <c r="C44" s="302" t="str">
        <f>+IF(OR('L6 CANT CLEON ASTU'!G18=0,LEN('L6 CANT CLEON ASTU'!G18)=0),"CCAA Cantabria, Castilla-León y Asturias.",IF(OR('L6 CANT CLEON ASTU'!G18&lt;0,+'L6 CANT CLEON ASTU'!G18/'L6 CANT CLEON ASTU'!G18&lt;&gt;1,'L6 CANT CLEON ASTU'!G18&lt;&gt;TRUNC('L6 CANT CLEON ASTU'!G18,2)),"REVISE IMPORTES OFERTADOS EN LOTE 6","CCAA Cantabria, Castilla-León y Asturias."))</f>
        <v>CCAA Cantabria, Castilla-León y Asturias.</v>
      </c>
      <c r="D44" s="303"/>
      <c r="E44" s="303"/>
      <c r="F44" s="303"/>
      <c r="G44" s="40"/>
      <c r="H44" s="282" t="str">
        <f>+IF(OR('L6 CANT CLEON ASTU'!G18=0,LEN('L6 CANT CLEON ASTU'!G18)=0),"",IF(OR('L6 CANT CLEON ASTU'!G18&lt;0,+'L6 CANT CLEON ASTU'!G18/'L6 CANT CLEON ASTU'!G18&lt;&gt;1,'L6 CANT CLEON ASTU'!G18&lt;&gt;TRUNC('L6 CANT CLEON ASTU'!G18,2)),"error imp.lote",IF('L6 CANT CLEON ASTU'!G18=SUM('L6 CANT CLEON ASTU'!G13:G17),+'L6 CANT CLEON ASTU'!G18,"")))</f>
        <v/>
      </c>
      <c r="I44" s="41"/>
      <c r="J44" s="33"/>
      <c r="K44" s="1"/>
      <c r="L44" s="1"/>
    </row>
    <row r="45" spans="1:12" ht="30" customHeight="1" thickBot="1" x14ac:dyDescent="0.3">
      <c r="A45" s="146" t="str">
        <f>+$B$18&amp;"T0_L07"</f>
        <v>T0_L07</v>
      </c>
      <c r="B45" s="37">
        <v>7</v>
      </c>
      <c r="C45" s="303" t="str">
        <f>+IF(OR('L7 CATAL'!G18=0,LEN('L7 CATAL'!G18)=0),"Comunidad Autónoma de Cataluña.",IF(OR('L7 CATAL'!G18&lt;0,+'L7 CATAL'!G18/'L7 CATAL'!G18&lt;&gt;1,'L7 CATAL'!G18&lt;&gt;TRUNC('L7 CATAL'!G18,2)),"REVISE IMPORTES OFERTADOS EN LOTE 7","Comunidad Autónoma de Cataluña."))</f>
        <v>Comunidad Autónoma de Cataluña.</v>
      </c>
      <c r="D45" s="303"/>
      <c r="E45" s="303"/>
      <c r="F45" s="303"/>
      <c r="G45" s="40"/>
      <c r="H45" s="282" t="str">
        <f>+IF(OR('L7 CATAL'!G18=0,LEN('L7 CATAL'!G18)=0),"",IF(OR('L7 CATAL'!G18&lt;0,+'L7 CATAL'!G18/'L7 CATAL'!G18&lt;&gt;1,'L7 CATAL'!G18&lt;&gt;TRUNC('L7 CATAL'!G18,2)),"error imp.lote",IF('L7 CATAL'!G18=SUM('L7 CATAL'!G13:G17),+'L7 CATAL'!G18,"")))</f>
        <v/>
      </c>
      <c r="I45" s="41"/>
      <c r="J45" s="33"/>
      <c r="K45" s="1"/>
      <c r="L45" s="1"/>
    </row>
    <row r="46" spans="1:12" ht="30" customHeight="1" thickBot="1" x14ac:dyDescent="0.3">
      <c r="A46" s="146" t="str">
        <f>+$B$18&amp;"T0_L08"</f>
        <v>T0_L08</v>
      </c>
      <c r="B46" s="37">
        <v>8</v>
      </c>
      <c r="C46" s="303" t="str">
        <f>+IF(OR('L8 GALIC'!G18=0,LEN('L8 GALIC'!G18)=0),"Comunidad Autónoma de Galicia.",IF(OR('L8 GALIC'!G18&lt;0,+'L8 GALIC'!G18/'L8 GALIC'!G18&lt;&gt;1,'L8 GALIC'!G18&lt;&gt;TRUNC('L8 GALIC'!G18,2)),"REVISE IMPORTES OFERTADOS EN LOTE 8","Comunidad Autónoma de Galicia."))</f>
        <v>Comunidad Autónoma de Galicia.</v>
      </c>
      <c r="D46" s="303"/>
      <c r="E46" s="303"/>
      <c r="F46" s="303"/>
      <c r="G46" s="40"/>
      <c r="H46" s="282" t="str">
        <f>+IF(OR('L8 GALIC'!G18=0,LEN('L8 GALIC'!G18)=0),"",IF(OR('L8 GALIC'!G18&lt;0,+'L8 GALIC'!G18/'L8 GALIC'!G18&lt;&gt;1,'L8 GALIC'!G18&lt;&gt;TRUNC('L8 GALIC'!G18,2)),"error imp.lote",IF('L8 GALIC'!G18=SUM('L8 GALIC'!G13:G17),+'L8 GALIC'!G18,"")))</f>
        <v/>
      </c>
      <c r="I46" s="41"/>
      <c r="J46" s="33"/>
      <c r="K46" s="1"/>
      <c r="L46" s="1"/>
    </row>
    <row r="47" spans="1:12" ht="30" customHeight="1" thickBot="1" x14ac:dyDescent="0.3">
      <c r="A47" s="146" t="str">
        <f>+$B$18&amp;"T0_L09"</f>
        <v>T0_L09</v>
      </c>
      <c r="B47" s="37">
        <v>9</v>
      </c>
      <c r="C47" s="316" t="str">
        <f>+IF(OR('L9 CANAR'!G18=0,LEN('L9 CANAR'!G18)=0),"Comunidad Autónoma de Canarias.",IF(OR('L9 CANAR'!G18&lt;0,+'L9 CANAR'!G18/'L9 CANAR'!G18&lt;&gt;1,'L9 CANAR'!G18&lt;&gt;TRUNC('L9 CANAR'!G18,2)),"REVISE IMPORTES OFERTADOS EN LOTE 9","Comunidad Autónoma de Canarias."))</f>
        <v>Comunidad Autónoma de Canarias.</v>
      </c>
      <c r="D47" s="316"/>
      <c r="E47" s="316"/>
      <c r="F47" s="316"/>
      <c r="G47" s="40"/>
      <c r="H47" s="282" t="str">
        <f>+IF(OR('L9 CANAR'!G18=0,LEN('L9 CANAR'!G18)=0),"",IF(OR('L9 CANAR'!G18&lt;0,+'L9 CANAR'!G18/'L9 CANAR'!G18&lt;&gt;1,'L9 CANAR'!G18&lt;&gt;TRUNC('L9 CANAR'!G18,2)),"error imp.lote",IF('L9 CANAR'!G18=SUM('L9 CANAR'!G13:G17),+'L9 CANAR'!G18,"")))</f>
        <v/>
      </c>
      <c r="I47" s="41"/>
      <c r="J47" s="33"/>
      <c r="K47" s="1"/>
      <c r="L47" s="1"/>
    </row>
    <row r="48" spans="1:12" ht="30" customHeight="1" thickBot="1" x14ac:dyDescent="0.3">
      <c r="A48" s="146" t="str">
        <f>+$B$18&amp;"T0_TOTOFE"</f>
        <v>T0_TOTOFE</v>
      </c>
      <c r="B48" s="34"/>
      <c r="C48" s="34"/>
      <c r="D48" s="1"/>
      <c r="E48" s="312" t="s">
        <v>49</v>
      </c>
      <c r="F48" s="313"/>
      <c r="G48" s="40"/>
      <c r="H48" s="283">
        <f>SUM(H39:H47)</f>
        <v>0</v>
      </c>
      <c r="I48" s="41"/>
      <c r="J48" s="33"/>
      <c r="K48" s="1"/>
      <c r="L48" s="1"/>
    </row>
    <row r="50" spans="1:10" ht="15.75" x14ac:dyDescent="0.25">
      <c r="A50" s="38" t="s">
        <v>53</v>
      </c>
    </row>
    <row r="52" spans="1:10" x14ac:dyDescent="0.25">
      <c r="E52" s="153" t="s">
        <v>54</v>
      </c>
    </row>
    <row r="53" spans="1:10" x14ac:dyDescent="0.25">
      <c r="E53" s="153"/>
    </row>
    <row r="54" spans="1:10" x14ac:dyDescent="0.25">
      <c r="E54" s="153"/>
    </row>
    <row r="55" spans="1:10" x14ac:dyDescent="0.25">
      <c r="A55" s="154" t="str">
        <f>+IF(LEN(C56)=0,"SOLO DEBE COMPLETARSE CAMPO Fdo CUANDO HAYA TERMINADO DE OFERTAR DESGLOSE IMPORTE LOTES/SEDES","")</f>
        <v>SOLO DEBE COMPLETARSE CAMPO Fdo CUANDO HAYA TERMINADO DE OFERTAR DESGLOSE IMPORTE LOTES/SEDES</v>
      </c>
    </row>
    <row r="56" spans="1:10" ht="18.75" x14ac:dyDescent="0.3">
      <c r="B56" s="12" t="s">
        <v>12</v>
      </c>
      <c r="C56" s="314"/>
      <c r="D56" s="314"/>
      <c r="E56" s="314"/>
      <c r="F56" s="314"/>
      <c r="G56" s="35"/>
    </row>
    <row r="62" spans="1:10" ht="39.950000000000003" customHeight="1" x14ac:dyDescent="0.25">
      <c r="A62" s="315" t="s">
        <v>55</v>
      </c>
      <c r="B62" s="315"/>
      <c r="C62" s="315"/>
      <c r="D62" s="315"/>
      <c r="E62" s="315"/>
      <c r="F62" s="315"/>
      <c r="G62" s="315"/>
      <c r="H62" s="315"/>
      <c r="I62" s="315"/>
      <c r="J62" s="315"/>
    </row>
  </sheetData>
  <sheetProtection algorithmName="SHA-512" hashValue="g7eSaU6AAisnc5mPJTNpvYI9dVEnYJAHvfUnkzIJO6xNjtXKjDfOYoGmzMbGLn2r+r+0Z4IVwAuxzJSESZTWrQ==" saltValue="mlLQ3wfbmPNbyWlLaA4mSg==" spinCount="100000" sheet="1" objects="1" scenarios="1" selectLockedCells="1"/>
  <mergeCells count="31">
    <mergeCell ref="E48:F48"/>
    <mergeCell ref="C56:F56"/>
    <mergeCell ref="A62:J62"/>
    <mergeCell ref="C45:F45"/>
    <mergeCell ref="C46:F46"/>
    <mergeCell ref="C47:F47"/>
    <mergeCell ref="C43:F43"/>
    <mergeCell ref="C44:F44"/>
    <mergeCell ref="C42:F42"/>
    <mergeCell ref="C41:F41"/>
    <mergeCell ref="C40:F40"/>
    <mergeCell ref="C39:F39"/>
    <mergeCell ref="B28:C28"/>
    <mergeCell ref="A30:J30"/>
    <mergeCell ref="A32:J32"/>
    <mergeCell ref="A34:J34"/>
    <mergeCell ref="A36:J36"/>
    <mergeCell ref="G38:I38"/>
    <mergeCell ref="C38:F38"/>
    <mergeCell ref="A24:J24"/>
    <mergeCell ref="A2:J2"/>
    <mergeCell ref="A9:J9"/>
    <mergeCell ref="B12:E12"/>
    <mergeCell ref="F12:H12"/>
    <mergeCell ref="I12:J12"/>
    <mergeCell ref="A13:I13"/>
    <mergeCell ref="A15:D15"/>
    <mergeCell ref="E15:J15"/>
    <mergeCell ref="D18:J18"/>
    <mergeCell ref="A22:J22"/>
    <mergeCell ref="A23:J23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 codeName="Hoja5">
    <pageSetUpPr fitToPage="1"/>
  </sheetPr>
  <dimension ref="A1:W199"/>
  <sheetViews>
    <sheetView showGridLines="0" workbookViewId="0">
      <pane ySplit="8" topLeftCell="A10" activePane="bottomLeft" state="frozen"/>
      <selection activeCell="A9" sqref="A9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491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9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29" t="str">
        <f>CONCATENATE("Lote ",RIGHT(B8,2)," : ",VLOOKUP(_xlfn.NUMBERVALUE(RIGHT(B8,1)),'RESUMEN LOTES'!B:C,2,FALSE))</f>
        <v>Lote  1 : CCAA Andalucía y Extremadura, Ciudades Autónomas de Ceuta y Melilla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oferta'!$B$18&amp;"T1_L01_cab"</f>
        <v>T1_L01_cab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oferta'!$B$18&amp;"T1_L01_DAB1"</f>
        <v>T1_L01_DAB1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decimales",IF(VLOOKUP(1,'RESUMEN LOTES'!B7:E15,4,FALSE)&lt;G18,"Importe ofertado supera max. € "&amp;VLOOKUP(1,'RESUMEN LOTES'!B7:E15,4,FALSE),IF(COUNTIFS($M$29:$M$66,"ok")&lt;&gt;18,"Debe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+IF(OR($G$18=0,LEN($G$18)=0),"¿?",IF(COUNTIFS($M$29:$M$66,"ok")&lt;&gt;18,"¿?",+IF(C13="Debe revisar Desglose 2 IMPORTE ofertado POR SEDE","¿?",+SUMIFS($J$78:$J$169,$H$78:$H$169,C13))))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oferta'!$B$18&amp;"T1_L01_DAB2"</f>
        <v>T1_L01_DAB2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decimales",IF(VLOOKUP(1,'RESUMEN LOTES'!B7:E15,4,FALSE)&lt;G18,"Importe ofertado supera max. € "&amp;VLOOKUP(1,'RESUMEN LOTES'!B7:E15,4,FALSE),IF(COUNTIFS($M$29:$M$66,"ok")&lt;&gt;18,"Debe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+IF(OR($G$18=0,LEN($G$18)=0),"¿?",IF(COUNTIFS($M$29:$M$66,"ok")&lt;&gt;18,"¿?",+IF(C14="Debe revisar Desglose 2 IMPORTE ofertado POR SEDE","¿?",+SUMIFS($J$78:$J$169,$H$78:$H$169,C14))))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oferta'!$B$18&amp;"T1_L01_DAB3"</f>
        <v>T1_L01_DAB3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decimales",IF(VLOOKUP(1,'RESUMEN LOTES'!B7:E15,4,FALSE)&lt;G18,"Importe ofertado supera max. € "&amp;VLOOKUP(1,'RESUMEN LOTES'!B7:E15,4,FALSE),IF(COUNTIFS($M$29:$M$66,"ok")&lt;&gt;18,"Debe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+IF(OR($G$18=0,LEN($G$18)=0),"¿?",IF(COUNTIFS($M$29:$M$66,"ok")&lt;&gt;18,"¿?",+IF(C15="Debe revisar Desglose 2 IMPORTE ofertado POR SEDE","¿?",+SUMIFS($J$78:$J$169,$H$78:$H$169,C15))))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oferta'!$B$18&amp;"T1_L01_DAB4"</f>
        <v>T1_L01_DAB4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decimales",IF(VLOOKUP(1,'RESUMEN LOTES'!B7:E15,4,FALSE)&lt;G18,"Importe ofertado supera max. € "&amp;VLOOKUP(1,'RESUMEN LOTES'!B7:E15,4,FALSE),IF(COUNTIFS($M$29:$M$66,"ok")&lt;&gt;18,"Debe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+IF(OR($G$18=0,LEN($G$18)=0),"¿?",IF(COUNTIFS($M$29:$M$66,"ok")&lt;&gt;18,"¿?",+IF(C16="Debe revisar Desglose 2 IMPORTE ofertado POR SEDE","¿?",+SUMIFS($J$78:$J$169,$H$78:$H$169,C16))))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oferta'!$B$18&amp;"T1_L01_DAB5"</f>
        <v>T1_L01_DAB5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decimales",IF(VLOOKUP(1,'RESUMEN LOTES'!B7:E15,4,FALSE)&lt;G18,"Importe ofertado supera max. € "&amp;VLOOKUP(1,'RESUMEN LOTES'!B7:E15,4,FALSE),IF(COUNTIFS($M$29:$M$66,"ok")&lt;&gt;18,"Debe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+IF(OR($G$18=0,LEN($G$18)=0),"¿?",IF(COUNTIFS($M$29:$M$66,"ok")&lt;&gt;18,"¿?",+IF(C17="Debe revisar Desglose 2 IMPORTE ofertado POR SEDE","¿?",+SUMIFS($J$78:$J$169,$H$78:$H$169,"Registro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oferta'!$B$18&amp;"T1_L01_TOT"</f>
        <v>T1_L01_TOT</v>
      </c>
      <c r="B18" s="280" t="s">
        <v>390</v>
      </c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  <c r="M19" s="122"/>
      <c r="N19" s="122"/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oferta'!$B$18&amp;"T2_L01_cab0a"</f>
        <v>T2_L01_cab0a</v>
      </c>
      <c r="B26" s="116" t="s">
        <v>59</v>
      </c>
      <c r="C26" s="117" t="s">
        <v>359</v>
      </c>
      <c r="D26" s="118"/>
      <c r="E26" s="119" t="s">
        <v>60</v>
      </c>
      <c r="F26" s="120" t="s">
        <v>378</v>
      </c>
      <c r="G26" s="269" t="s">
        <v>532</v>
      </c>
      <c r="H26" s="271" t="s">
        <v>490</v>
      </c>
      <c r="I26" s="108" t="s">
        <v>503</v>
      </c>
      <c r="J26" s="51"/>
      <c r="M26" s="108" t="s">
        <v>387</v>
      </c>
    </row>
    <row r="27" spans="1:23" ht="15.75" thickBot="1" x14ac:dyDescent="0.3">
      <c r="A27" s="147" t="str">
        <f>+'Anx I pg 1 oferta'!$B$18&amp;"T2_L01_cab0b"</f>
        <v>T2_L01_cab0b</v>
      </c>
      <c r="B27" s="111" t="s">
        <v>492</v>
      </c>
      <c r="C27" s="112" t="s">
        <v>400</v>
      </c>
      <c r="D27" s="113"/>
      <c r="E27" s="114"/>
      <c r="F27" s="115">
        <v>1</v>
      </c>
      <c r="G27" s="113"/>
      <c r="H27" s="121"/>
      <c r="I27" s="109"/>
      <c r="J27" s="51"/>
    </row>
    <row r="28" spans="1:23" ht="15.75" thickBot="1" x14ac:dyDescent="0.3">
      <c r="A28" s="147" t="str">
        <f>+'Anx I pg 1 oferta'!$B$18&amp;"T2_L01_cab1(CA)"</f>
        <v>T2_L01_cab1(CA)</v>
      </c>
      <c r="B28" s="83" t="s">
        <v>390</v>
      </c>
      <c r="C28" s="84" t="s">
        <v>401</v>
      </c>
      <c r="D28" s="85"/>
      <c r="E28" s="85"/>
      <c r="F28" s="86"/>
      <c r="G28" s="86"/>
      <c r="H28" s="88"/>
      <c r="I28" s="110">
        <f>+G18</f>
        <v>0</v>
      </c>
      <c r="J28" s="51"/>
    </row>
    <row r="29" spans="1:23" ht="21.95" customHeight="1" thickBot="1" x14ac:dyDescent="0.3">
      <c r="A29" s="147" t="str">
        <f>+'Anx I pg 1 oferta'!$B$18&amp;"T2_L01_inst_"&amp;B29</f>
        <v>T2_L01_inst_L01-01</v>
      </c>
      <c r="B29" s="52" t="s">
        <v>64</v>
      </c>
      <c r="C29" s="57" t="str">
        <f>+VLOOKUP(B29,'DATOS CENTROS'!B:F,4,FALSE)</f>
        <v>C.E. OM ROQUETAS</v>
      </c>
      <c r="D29" s="58"/>
      <c r="E29" s="59" t="str">
        <f>+VLOOKUP(B29,'DATOS CENTROS'!B:F,3,FALSE)</f>
        <v xml:space="preserve"> A + C</v>
      </c>
      <c r="F29" s="66">
        <f>+VLOOKUP(B29,'DATOS CENTROS'!B:F,5,FALSE)</f>
        <v>8.5999999999999993E-2</v>
      </c>
      <c r="G29" s="80" t="str">
        <f>+IF(OR($G$18=0,LEN($G$18)=0),"",+ROUND(((H29)/$G$18),6))</f>
        <v/>
      </c>
      <c r="H29" s="217"/>
      <c r="J29" s="125"/>
      <c r="K29" s="125"/>
      <c r="L29" s="125"/>
      <c r="M29" s="275" t="str">
        <f>+IFERROR(IF(N29&lt;&gt;TRUNC(N29,2),".+ de 2 decim.",IF(COUNTA($H$29:$H$66)&lt;18,18-COUNTA($H$29:$H$66)&amp;" Items ptes.ofertar ",IF(AND($G$18&gt;0,$H$39&gt;0,(N29)/(N29)=1),"ok","mal"))),"¿max.min.ofertado?")</f>
        <v>¿max.min.ofertado?</v>
      </c>
      <c r="N29" s="125" t="str">
        <f>+IF(OR($G$18=0,LEN($G$18)=0),"",IF(OR($G$18&lt;0,+$G$18/$G$18&lt;&gt;1),"Total oferta Lote incorrecto (no numérico o negativo)",IF(AND($G$18&gt;0,$H$39&gt;0,H29&lt;=0),"¿importe ofertado?",IF(AND($G$18&gt;0,$H$39&lt;0),"acum.of.oferta sede &gt;oferta lote",IF(AND($G$18&gt;0,$H$39&lt;&gt;0,H29&lt;VLOOKUP(B29,'% admitidos'!A:M,11,FALSE)),+"min."&amp;VLOOKUP(B29,'% admitidos'!A:M,11,FALSE),IF(AND($G$18&gt;0,$H$39&gt;0,H29&gt;VLOOKUP(B29,'%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s="245" customFormat="1" ht="12" customHeight="1" thickBot="1" x14ac:dyDescent="0.3">
      <c r="A30" s="238" t="s">
        <v>542</v>
      </c>
      <c r="B30" s="239" t="s">
        <v>390</v>
      </c>
      <c r="C30" s="24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241"/>
      <c r="E30" s="241"/>
      <c r="F30" s="242"/>
      <c r="G30" s="243"/>
      <c r="H30" s="244"/>
      <c r="J30" s="246"/>
      <c r="K30" s="246"/>
      <c r="L30" s="246"/>
      <c r="M30" s="277"/>
      <c r="N30" s="246"/>
    </row>
    <row r="31" spans="1:23" ht="21.95" customHeight="1" thickBot="1" x14ac:dyDescent="0.3">
      <c r="A31" s="147" t="str">
        <f>+'Anx I pg 1 oferta'!$B$18&amp;"T2_L01_inst_"&amp;B31</f>
        <v>T2_L01_inst_L01-02</v>
      </c>
      <c r="B31" s="52" t="s">
        <v>67</v>
      </c>
      <c r="C31" s="57" t="str">
        <f>+VLOOKUP(B31,'DATOS CENTROS'!B:F,4,FALSE)</f>
        <v>C.E. OM CAMPANILLAS</v>
      </c>
      <c r="D31" s="58"/>
      <c r="E31" s="59" t="str">
        <f>+VLOOKUP(B31,'DATOS CENTROS'!B:F,3,FALSE)</f>
        <v xml:space="preserve"> A + C</v>
      </c>
      <c r="F31" s="66">
        <f>+VLOOKUP(B31,'DATOS CENTROS'!B:F,5,FALSE)</f>
        <v>7.0999999999999994E-2</v>
      </c>
      <c r="G31" s="80" t="str">
        <f>+IF(OR($G$18=0,LEN($G$18)=0),"",+ROUND(((H31)/$G$18),6))</f>
        <v/>
      </c>
      <c r="H31" s="217"/>
      <c r="J31" s="125"/>
      <c r="K31" s="125"/>
      <c r="L31" s="125"/>
      <c r="M31" s="275" t="str">
        <f>+IFERROR(IF(N31&lt;&gt;TRUNC(N31,2),".+ de 2 decim.",IF(COUNTA($H$29:$H$66)&lt;18,18-COUNTA($H$29:$H$66)&amp;" Items ptes.ofertar ",IF(AND($G$18&gt;0,$H$39&gt;0,(N31)/(N31)=1),"ok","mal"))),"¿max.min.ofertado?")</f>
        <v>¿max.min.ofertado?</v>
      </c>
      <c r="N31" s="125" t="str">
        <f>+IF(OR($G$18=0,LEN($G$18)=0),"",IF(OR($G$18&lt;0,+$G$18/$G$18&lt;&gt;1),"Total oferta Lote incorrecto (no numérico o negativo)",IF(AND($G$18&gt;0,$H$39&gt;0,H31&lt;=0),"¿importe ofertado?",IF(AND($G$18&gt;0,$H$39&lt;0),"acum.of.oferta sede &gt;oferta lote",IF(AND($G$18&gt;0,$H$39&gt;0,H31&lt;VLOOKUP(B31,'% admitidos'!A:M,11,FALSE)),+"min."&amp;VLOOKUP(B31,'% admitidos'!A:M,11,FALSE),IF(AND($G$18&gt;0,$H$39&gt;0,H31&gt;VLOOKUP(B31,'% admitidos'!A:M,13,FALSE)),+"max."&amp;VLOOKUP(B31,'% admitidos'!A:M,13,FALSE),+H31))))))</f>
        <v/>
      </c>
    </row>
    <row r="32" spans="1:23" s="245" customFormat="1" ht="12" customHeight="1" thickTop="1" thickBot="1" x14ac:dyDescent="0.3">
      <c r="A32" s="238" t="s">
        <v>542</v>
      </c>
      <c r="B32" s="247" t="s">
        <v>390</v>
      </c>
      <c r="C32" s="248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249"/>
      <c r="E32" s="249"/>
      <c r="F32" s="250"/>
      <c r="G32" s="251"/>
      <c r="H32" s="252"/>
      <c r="J32" s="246"/>
      <c r="K32" s="246"/>
      <c r="L32" s="246"/>
      <c r="M32" s="277"/>
      <c r="N32" s="246"/>
    </row>
    <row r="33" spans="1:23" ht="21.95" customHeight="1" thickBot="1" x14ac:dyDescent="0.3">
      <c r="A33" s="147" t="str">
        <f>+'Anx I pg 1 oferta'!$B$18&amp;"T2_L01_inst_"&amp;B33</f>
        <v>T2_L01_inst_L01-03</v>
      </c>
      <c r="B33" s="52" t="s">
        <v>70</v>
      </c>
      <c r="C33" s="57" t="str">
        <f>+VLOOKUP(B33,'DATOS CENTROS'!B:F,4,FALSE)</f>
        <v>U.I. RTVE Málaga</v>
      </c>
      <c r="D33" s="58"/>
      <c r="E33" s="59" t="str">
        <f>+VLOOKUP(B33,'DATOS CENTROS'!B:F,3,FALSE)</f>
        <v xml:space="preserve"> A + C</v>
      </c>
      <c r="F33" s="66">
        <f>+VLOOKUP(B33,'DATOS CENTROS'!B:F,5,FALSE)</f>
        <v>5.0999999999999997E-2</v>
      </c>
      <c r="G33" s="80" t="str">
        <f>+IF(OR($G$18=0,LEN($G$18)=0),"",+ROUND(((H33)/$G$18),6))</f>
        <v/>
      </c>
      <c r="H33" s="217"/>
      <c r="J33" s="125"/>
      <c r="K33" s="125"/>
      <c r="L33" s="125"/>
      <c r="M33" s="275" t="str">
        <f>+IFERROR(IF(N33&lt;&gt;TRUNC(N33,2),".+ de 2 decim.",IF(COUNTA($H$29:$H$66)&lt;18,18-COUNTA($H$29:$H$66)&amp;" Items ptes.ofertar ",IF(AND($G$18&gt;0,$H$39&gt;0,(N33)/(N33)=1),"ok","mal"))),"¿max.min.ofertado?")</f>
        <v>¿max.min.ofertado?</v>
      </c>
      <c r="N33" s="125" t="str">
        <f>+IF(OR($G$18=0,LEN($G$18)=0),"",IF(OR($G$18&lt;0,+$G$18/$G$18&lt;&gt;1),"Total oferta Lote incorrecto (no numérico o negativo)",IF(AND($G$18&gt;0,$H$39&gt;0,H33&lt;=0),"¿importe ofertado?",IF(AND($G$18&gt;0,$H$39&lt;0),"acum.of.oferta sede &gt;oferta lote",IF(AND($G$18&gt;0,$H$39&gt;0,H33&lt;VLOOKUP(B33,'% admitidos'!A:M,11,FALSE)),+"min."&amp;VLOOKUP(B33,'% admitidos'!A:M,11,FALSE),IF(AND($G$18&gt;0,$H$39&gt;0,H33&gt;VLOOKUP(B33,'% admitidos'!A:M,13,FALSE)),+"max."&amp;VLOOKUP(B33,'% admitidos'!A:M,13,FALSE),+H33))))))</f>
        <v/>
      </c>
    </row>
    <row r="34" spans="1:23" s="245" customFormat="1" ht="12" customHeight="1" thickBot="1" x14ac:dyDescent="0.3">
      <c r="A34" s="238" t="s">
        <v>542</v>
      </c>
      <c r="B34" s="239" t="s">
        <v>390</v>
      </c>
      <c r="C34" s="24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241"/>
      <c r="E34" s="241"/>
      <c r="F34" s="242"/>
      <c r="G34" s="242"/>
      <c r="H34" s="244"/>
      <c r="J34" s="246"/>
      <c r="K34" s="246"/>
      <c r="L34" s="246"/>
      <c r="M34" s="277"/>
      <c r="N34" s="246"/>
    </row>
    <row r="35" spans="1:23" ht="21.95" customHeight="1" thickBot="1" x14ac:dyDescent="0.3">
      <c r="A35" s="147" t="str">
        <f>+'Anx I pg 1 oferta'!$B$18&amp;"T2_L01_inst_"&amp;B35</f>
        <v>T2_L01_inst_L01-04</v>
      </c>
      <c r="B35" s="139" t="s">
        <v>73</v>
      </c>
      <c r="C35" s="140" t="str">
        <f>+VLOOKUP(B35,'DATOS CENTROS'!B:F,4,FALSE)</f>
        <v>C.E. OM LA CORCHUELA</v>
      </c>
      <c r="D35" s="141"/>
      <c r="E35" s="142" t="str">
        <f>+VLOOKUP(B35,'DATOS CENTROS'!B:F,3,FALSE)</f>
        <v xml:space="preserve"> A + C</v>
      </c>
      <c r="F35" s="66">
        <f>+VLOOKUP(B35,'DATOS CENTROS'!B:F,5,FALSE)</f>
        <v>6.0999999999999999E-2</v>
      </c>
      <c r="G35" s="143" t="str">
        <f>+IF(OR($G$18=0,LEN($G$18)=0),"",+ROUND(((H35)/$G$18),6))</f>
        <v/>
      </c>
      <c r="H35" s="218"/>
      <c r="J35" s="125"/>
      <c r="K35" s="125"/>
      <c r="L35" s="125"/>
      <c r="M35" s="275" t="str">
        <f>+IFERROR(IF(N35&lt;&gt;TRUNC(N35,2),".+ de 2 decim.",IF(COUNTA($H$29:$H$66)&lt;18,18-COUNTA($H$29:$H$66)&amp;" Items ptes.ofertar ",IF(AND($G$18&gt;0,$H$39&gt;0,(N35)/(N35)=1),"ok","mal"))),"¿max.min.ofertado?")</f>
        <v>¿max.min.ofertado?</v>
      </c>
      <c r="N35" s="125" t="str">
        <f>+IF(OR($G$18=0,LEN($G$18)=0),"",IF(OR($G$18&lt;0,+$G$18/$G$18&lt;&gt;1),"Total oferta Lote incorrecto (no numérico o negativo)",IF(AND($G$18&gt;0,$H$39&gt;0,H35&lt;=0),"¿importe ofertado?",IF(AND($G$18&gt;0,$H$39&lt;0),"acum.of.oferta sede &gt;oferta lote",IF(AND($G$18&gt;0,$H$39&gt;0,H35&lt;VLOOKUP(B35,'% admitidos'!A:M,11,FALSE)),+"min."&amp;VLOOKUP(B35,'% admitidos'!A:M,11,FALSE),IF(AND($G$18&gt;0,$H$39&gt;0,H35&gt;VLOOKUP(B35,'% admitidos'!A:M,13,FALSE)),+"max."&amp;VLOOKUP(B35,'% admitidos'!A:M,13,FALSE),+H35))))))</f>
        <v/>
      </c>
    </row>
    <row r="36" spans="1:23" s="245" customFormat="1" ht="12" customHeight="1" thickTop="1" thickBot="1" x14ac:dyDescent="0.3">
      <c r="A36" s="238" t="s">
        <v>542</v>
      </c>
      <c r="B36" s="253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255"/>
      <c r="E36" s="255"/>
      <c r="F36" s="256"/>
      <c r="G36" s="256"/>
      <c r="H36" s="257"/>
      <c r="J36" s="246"/>
      <c r="K36" s="246"/>
      <c r="L36" s="246"/>
      <c r="M36" s="277"/>
      <c r="N36" s="246"/>
    </row>
    <row r="37" spans="1:23" ht="21.95" customHeight="1" thickBot="1" x14ac:dyDescent="0.3">
      <c r="A37" s="147" t="str">
        <f>+'Anx I pg 1 oferta'!$B$18&amp;"T2_L01_inst_"&amp;B37</f>
        <v>T2_L01_inst_L01-05</v>
      </c>
      <c r="B37" s="52" t="s">
        <v>76</v>
      </c>
      <c r="C37" s="57" t="str">
        <f>+VLOOKUP(B37,'DATOS CENTROS'!B:F,4,FALSE)</f>
        <v>C.E. OM LOS PALACIOS / DOS HERMANAS</v>
      </c>
      <c r="D37" s="58"/>
      <c r="E37" s="59" t="str">
        <f>+VLOOKUP(B37,'DATOS CENTROS'!B:F,3,FALSE)</f>
        <v xml:space="preserve"> A + C</v>
      </c>
      <c r="F37" s="66">
        <f>+VLOOKUP(B37,'DATOS CENTROS'!B:F,5,FALSE)</f>
        <v>0.13200000000000001</v>
      </c>
      <c r="G37" s="80" t="str">
        <f>+IF(OR($G$18=0,LEN($G$18)=0),"",+ROUND(((H37)/$G$18),6))</f>
        <v/>
      </c>
      <c r="H37" s="217"/>
      <c r="J37" s="125"/>
      <c r="K37" s="125"/>
      <c r="L37" s="125"/>
      <c r="M37" s="275" t="str">
        <f>+IFERROR(IF(N37&lt;&gt;TRUNC(N37,2),".+ de 2 decim.",IF(COUNTA($H$29:$H$66)&lt;18,18-COUNTA($H$29:$H$66)&amp;" Items ptes.ofertar ",IF(AND($G$18&gt;0,$H$39&gt;0,(N37)/(N37)=1),"ok","mal"))),"¿max.min.ofertado?")</f>
        <v>¿max.min.ofertado?</v>
      </c>
      <c r="N37" s="125" t="str">
        <f>+IF(OR($G$18=0,LEN($G$18)=0),"",IF(OR($G$18&lt;0,+$G$18/$G$18&lt;&gt;1),"Total oferta Lote incorrecto (no numérico o negativo)",IF(AND($G$18&gt;0,$H$39&gt;0,H37&lt;=0),"¿importe ofertado?",IF(AND($G$18&gt;0,$H$39&lt;0),"acum.of.oferta sede &gt;oferta lote",IF(AND($G$18&gt;0,$H$39&gt;0,H37&lt;VLOOKUP(B37,'% admitidos'!A:M,11,FALSE)),+"min."&amp;VLOOKUP(B37,'% admitidos'!A:M,11,FALSE),IF(AND($G$18&gt;0,$H$39&gt;0,H37&gt;VLOOKUP(B37,'% admitidos'!A:M,13,FALSE)),+"max."&amp;+ROUND(VLOOKUP(B37,'% admitidos'!A:M,13,FALSE),4),+H37))))))</f>
        <v/>
      </c>
    </row>
    <row r="38" spans="1:23" s="245" customFormat="1" ht="12" customHeight="1" thickTop="1" thickBot="1" x14ac:dyDescent="0.3">
      <c r="A38" s="238" t="s">
        <v>542</v>
      </c>
      <c r="B38" s="247" t="s">
        <v>390</v>
      </c>
      <c r="C38" s="248" t="str">
        <f>+IF(LEN('Anx I pg 1 oferta'!$C$56)&gt;0,"","min. "&amp;VLOOKUP(B37,'% admitidos'!A:M,11,FALSE)&amp;" - med.  "&amp;VLOOKUP(B37,'% admitidos'!A:M,12,FALSE)&amp;" - max.  "&amp;+ROUND(VLOOKUP(B37,'% admitidos'!A:M,13,FALSE),6))</f>
        <v>min. 0 - med.  0 - max.  0</v>
      </c>
      <c r="D38" s="249"/>
      <c r="E38" s="249"/>
      <c r="F38" s="249"/>
      <c r="G38" s="249"/>
      <c r="H38" s="258"/>
      <c r="J38" s="259"/>
      <c r="K38" s="259"/>
      <c r="L38" s="259"/>
      <c r="M38" s="277"/>
      <c r="N38" s="259"/>
    </row>
    <row r="39" spans="1:23" ht="21.95" customHeight="1" thickBot="1" x14ac:dyDescent="0.3">
      <c r="A39" s="147" t="str">
        <f>+'Anx I pg 1 oferta'!$B$18&amp;"T2_L01_inst_"&amp;B39</f>
        <v>T2_L01_inst_L01-06</v>
      </c>
      <c r="B39" s="52" t="s">
        <v>79</v>
      </c>
      <c r="C39" s="57" t="str">
        <f>+VLOOKUP(B39,'DATOS CENTROS'!B:F,4,FALSE)</f>
        <v>C.T. RTVE Andalucía (Sevilla)</v>
      </c>
      <c r="D39" s="58"/>
      <c r="E39" s="59" t="str">
        <f>+VLOOKUP(B39,'DATOS CENTROS'!B:F,3,FALSE)</f>
        <v xml:space="preserve"> A + C</v>
      </c>
      <c r="F39" s="66">
        <f>+VLOOKUP(B39,'DATOS CENTROS'!B:F,5,FALSE)</f>
        <v>0.17</v>
      </c>
      <c r="G39" s="81" t="str">
        <f>+IF(OR($G$18=0,LEN($G$18)=0),"",1-SUM(G29:G38)-SUM(G41:G66))</f>
        <v/>
      </c>
      <c r="H39" s="89" t="str">
        <f>+IF(OR($G$18=0,+LEN($G$18)=0),"",+$G$18-SUM(H29:H38)-SUM(H41:H66))</f>
        <v/>
      </c>
      <c r="J39" s="125"/>
      <c r="K39" s="125"/>
      <c r="L39" s="125"/>
      <c r="M39" s="275" t="str">
        <f>+IFERROR(IF(COUNTA($H$29:$H$66)&lt;18,18-COUNTA($H$29:$H$66)&amp;" Items ptes.ofertar ",IF(AND($G$18&gt;0,$H$37&gt;0,(N39)/(N39)=1),"ok","mal")),"¿max.min.ofertado?")</f>
        <v xml:space="preserve">17 Items ptes.ofertar </v>
      </c>
      <c r="N39" s="125" t="str">
        <f>+IF(OR($G$18=0,LEN($G$18)=0),"",IF(OR($G$18&lt;0,+$G$18/$G$18&lt;&gt;1),"Total oferta Lote incorrecto (no numérico o negativo)",IF(AND($G$18&gt;0,$H$39&gt;0,H39&lt;=0),"¿importe ofertado?",IF(AND($G$18&gt;0,$H$39&lt;0),"acum.of.oferta sede &gt;oferta lote",IF(AND($G$18&gt;0,$H$39&lt;&gt;0,H39&lt;VLOOKUP(B39,'% admitidos'!A:M,13,FALSE)),+"MIN."&amp;VLOOKUP(B39,'% admitidos'!A:M,13,FALSE),IF(AND($G$18&gt;0,$H$39&gt;0,H39&gt;VLOOKUP(B39,'% admitidos'!A:M,11,FALSE)),+"MAX."&amp;VLOOKUP(B39,'% admitidos'!A:M,11,FALSE),+H39))))))</f>
        <v/>
      </c>
      <c r="Q39" s="101"/>
      <c r="R39" s="101"/>
      <c r="S39" s="101"/>
      <c r="T39" s="101"/>
      <c r="U39" s="101"/>
      <c r="V39" s="101"/>
      <c r="W39" s="101"/>
    </row>
    <row r="40" spans="1:23" s="245" customFormat="1" ht="12" customHeight="1" thickBot="1" x14ac:dyDescent="0.3">
      <c r="A40" s="238" t="s">
        <v>542</v>
      </c>
      <c r="B40" s="239" t="s">
        <v>390</v>
      </c>
      <c r="C40" s="240" t="str">
        <f>+IF(LEN('Anx I pg 1 oferta'!$C$56)&gt;0,"","MAX.  "&amp;VLOOKUP(B39,'% admitidos'!A:M,11,FALSE)&amp;" - med.  "&amp;VLOOKUP(B39,'% admitidos'!A:M,12,FALSE)&amp;" - MIN. "&amp;VLOOKUP(B39,'% admitidos'!A:M,13,FALSE))</f>
        <v>MAX.  0 - med.  0 - MIN. 0</v>
      </c>
      <c r="D40" s="241"/>
      <c r="E40" s="241"/>
      <c r="F40" s="242"/>
      <c r="G40" s="243"/>
      <c r="H40" s="244"/>
      <c r="J40" s="246"/>
      <c r="K40" s="246"/>
      <c r="L40" s="246"/>
      <c r="M40" s="277"/>
      <c r="N40" s="246"/>
    </row>
    <row r="41" spans="1:23" ht="21.95" customHeight="1" thickBot="1" x14ac:dyDescent="0.3">
      <c r="A41" s="147" t="str">
        <f>+'Anx I pg 1 oferta'!$B$18&amp;"T2_L01_inst_"&amp;B41</f>
        <v>T2_L01_inst_L01-07</v>
      </c>
      <c r="B41" s="52" t="s">
        <v>82</v>
      </c>
      <c r="C41" s="57" t="str">
        <f>+VLOOKUP(B41,'DATOS CENTROS'!B:F,4,FALSE)</f>
        <v>U.I. RTVE Cádiz</v>
      </c>
      <c r="D41" s="58"/>
      <c r="E41" s="59" t="str">
        <f>+VLOOKUP(B41,'DATOS CENTROS'!B:F,3,FALSE)</f>
        <v>C</v>
      </c>
      <c r="F41" s="66">
        <f>+VLOOKUP(B41,'DATOS CENTROS'!B:F,5,FALSE)</f>
        <v>0.02</v>
      </c>
      <c r="G41" s="80" t="str">
        <f>+IF(OR($G$18=0,LEN($G$18)=0),"",+ROUND(((H41)/$G$18),6))</f>
        <v/>
      </c>
      <c r="H41" s="217"/>
      <c r="J41" s="125"/>
      <c r="K41" s="125"/>
      <c r="L41" s="125"/>
      <c r="M41" s="275" t="str">
        <f>+IFERROR(IF(N41&lt;&gt;TRUNC(N41,2),".+ de 2 decim.",IF(COUNTA($H$29:$H$66)&lt;18,18-COUNTA($H$29:$H$66)&amp;" Items ptes.ofertar ",IF(AND($G$18&gt;0,$H$39&gt;0,(N41)/(N41)=1),"ok","mal"))),"¿max.min.ofertado?")</f>
        <v>¿max.min.ofertado?</v>
      </c>
      <c r="N41" s="125" t="str">
        <f>+IF(OR($G$18=0,LEN($G$18)=0),"",IF(OR($G$18&lt;0,+$G$18/$G$18&lt;&gt;1),"Total oferta Lote incorrecto (no numérico o negativo)",IF(AND($G$18&gt;0,$H$39&gt;0,H41&lt;=0),"¿importe ofertado?",IF(AND($G$18&gt;0,$H$39&lt;0),"acum.of.oferta sede &gt;oferta lote",IF(AND($G$18&gt;0,$H$39&gt;0,H41&lt;VLOOKUP(B41,'% admitidos'!A:M,11,FALSE)),+"min."&amp;VLOOKUP(B41,'% admitidos'!A:M,11,FALSE),IF(AND($G$18&gt;0,$H$39&gt;0,H41&gt;VLOOKUP(B41,'% admitidos'!A:M,13,FALSE)),+"max."&amp;VLOOKUP(B41,'% admitidos'!A:M,13,FALSE),+H41))))))</f>
        <v/>
      </c>
    </row>
    <row r="42" spans="1:23" s="245" customFormat="1" ht="12" customHeight="1" thickTop="1" thickBot="1" x14ac:dyDescent="0.3">
      <c r="A42" s="238" t="s">
        <v>542</v>
      </c>
      <c r="B42" s="247" t="s">
        <v>390</v>
      </c>
      <c r="C42" s="248" t="str">
        <f>+IF(LEN('Anx I pg 1 oferta'!$C$56)&gt;0,"","min. "&amp;VLOOKUP(B41,'% admitidos'!A:M,11,FALSE)&amp;" - med.  "&amp;VLOOKUP(B41,'% admitidos'!A:M,12,FALSE)&amp;" - max.  "&amp;VLOOKUP(B41,'% admitidos'!A:M,13,FALSE))</f>
        <v>min. 0 - med.  0 - max.  0</v>
      </c>
      <c r="D42" s="249"/>
      <c r="E42" s="249"/>
      <c r="F42" s="250"/>
      <c r="G42" s="251"/>
      <c r="H42" s="252"/>
      <c r="J42" s="246"/>
      <c r="K42" s="246"/>
      <c r="L42" s="246"/>
      <c r="M42" s="277"/>
      <c r="N42" s="246"/>
    </row>
    <row r="43" spans="1:23" ht="21.95" customHeight="1" thickBot="1" x14ac:dyDescent="0.3">
      <c r="A43" s="147" t="str">
        <f>+'Anx I pg 1 oferta'!$B$18&amp;"T2_L01_inst_"&amp;B43</f>
        <v>T2_L01_inst_L01-08</v>
      </c>
      <c r="B43" s="52" t="s">
        <v>86</v>
      </c>
      <c r="C43" s="57" t="str">
        <f>+VLOOKUP(B43,'DATOS CENTROS'!B:F,4,FALSE)</f>
        <v>S.U. Granada (Sos Rey Católico)</v>
      </c>
      <c r="D43" s="58"/>
      <c r="E43" s="59" t="str">
        <f>+VLOOKUP(B43,'DATOS CENTROS'!B:F,3,FALSE)</f>
        <v>C</v>
      </c>
      <c r="F43" s="66">
        <f>+VLOOKUP(B43,'DATOS CENTROS'!B:F,5,FALSE)</f>
        <v>1.2E-2</v>
      </c>
      <c r="G43" s="80" t="str">
        <f>+IF(OR($G$18=0,LEN($G$18)=0),"",+ROUND(((H43)/$G$18),6))</f>
        <v/>
      </c>
      <c r="H43" s="217"/>
      <c r="J43" s="125"/>
      <c r="K43" s="125"/>
      <c r="L43" s="125"/>
      <c r="M43" s="275" t="str">
        <f>+IFERROR(IF(N43&lt;&gt;TRUNC(N43,2),".+ de 2 decim.",IF(COUNTA($H$29:$H$66)&lt;18,18-COUNTA($H$29:$H$66)&amp;" Items ptes.ofertar ",IF(AND($G$18&gt;0,$H$39&gt;0,(N43)/(N43)=1),"ok","mal"))),"¿max.min.ofertado?")</f>
        <v>¿max.min.ofertado?</v>
      </c>
      <c r="N43" s="125" t="str">
        <f>+IF(OR($G$18=0,LEN($G$18)=0),"",IF(OR($G$18&lt;0,+$G$18/$G$18&lt;&gt;1),"Total oferta Lote incorrecto (no numérico o negativo)",IF(AND($G$18&gt;0,$H$39&gt;0,H43&lt;=0),"¿importe ofertado?",IF(AND($G$18&gt;0,$H$39&lt;0),"acum.of.oferta sede &gt;oferta lote",IF(AND($G$18&gt;0,$H$39&gt;0,H43&lt;VLOOKUP(B43,'% admitidos'!A:M,11,FALSE)),+"min."&amp;VLOOKUP(B43,'% admitidos'!A:M,11,FALSE),IF(AND($G$18&gt;0,$H$39&gt;0,H43&gt;VLOOKUP(B43,'% admitidos'!A:M,13,FALSE)),+"max."&amp;VLOOKUP(B43,'% admitidos'!A:M,13,FALSE),+H43))))))</f>
        <v/>
      </c>
    </row>
    <row r="44" spans="1:23" s="245" customFormat="1" ht="12" customHeight="1" thickBot="1" x14ac:dyDescent="0.3">
      <c r="A44" s="238" t="s">
        <v>542</v>
      </c>
      <c r="B44" s="239" t="s">
        <v>390</v>
      </c>
      <c r="C44" s="240" t="str">
        <f>+IF(LEN('Anx I pg 1 oferta'!$C$56)&gt;0,"","min. "&amp;VLOOKUP(B43,'% admitidos'!A:M,11,FALSE)&amp;" - med.  "&amp;VLOOKUP(B43,'% admitidos'!A:M,12,FALSE)&amp;" - max.  "&amp;VLOOKUP(B43,'% admitidos'!A:M,13,FALSE))</f>
        <v>min. 0 - med.  0 - max.  0</v>
      </c>
      <c r="D44" s="241"/>
      <c r="E44" s="241"/>
      <c r="F44" s="242"/>
      <c r="G44" s="242"/>
      <c r="H44" s="244"/>
      <c r="J44" s="246"/>
      <c r="K44" s="246"/>
      <c r="L44" s="246"/>
      <c r="M44" s="277"/>
      <c r="N44" s="246"/>
    </row>
    <row r="45" spans="1:23" ht="21.95" customHeight="1" thickBot="1" x14ac:dyDescent="0.3">
      <c r="A45" s="147" t="str">
        <f>+'Anx I pg 1 oferta'!$B$18&amp;"T2_L01_inst_"&amp;B45</f>
        <v>T2_L01_inst_L01-09</v>
      </c>
      <c r="B45" s="52" t="s">
        <v>89</v>
      </c>
      <c r="C45" s="57" t="str">
        <f>+VLOOKUP(B45,'DATOS CENTROS'!B:F,4,FALSE)</f>
        <v>U.I. RTVE Granada</v>
      </c>
      <c r="D45" s="58"/>
      <c r="E45" s="59" t="str">
        <f>+VLOOKUP(B45,'DATOS CENTROS'!B:F,3,FALSE)</f>
        <v>C</v>
      </c>
      <c r="F45" s="66">
        <f>+VLOOKUP(B45,'DATOS CENTROS'!B:F,5,FALSE)</f>
        <v>1.7000000000000001E-2</v>
      </c>
      <c r="G45" s="229" t="str">
        <f>+IF(OR($G$18=0,LEN($G$18)=0),"",+ROUND(((H45)/$G$18),6))</f>
        <v/>
      </c>
      <c r="H45" s="217"/>
      <c r="J45" s="125"/>
      <c r="K45" s="125"/>
      <c r="L45" s="125"/>
      <c r="M45" s="275" t="str">
        <f>+IFERROR(IF(N45&lt;&gt;TRUNC(N45,2),".+ de 2 decim.",IF(COUNTA($H$29:$H$66)&lt;18,18-COUNTA($H$29:$H$66)&amp;" Items ptes.ofertar ",IF(AND($G$18&gt;0,$H$39&gt;0,(N45)/(N45)=1),"ok","mal"))),"¿max.min.ofertado?")</f>
        <v>¿max.min.ofertado?</v>
      </c>
      <c r="N45" s="125" t="str">
        <f>+IF(OR($G$18=0,LEN($G$18)=0),"",IF(OR($G$18&lt;0,+$G$18/$G$18&lt;&gt;1),"Total oferta Lote incorrecto (no numérico o negativo)",IF(AND($G$18&gt;0,$H$39&gt;0,H45&lt;=0),"¿importe ofertado?",IF(AND($G$18&gt;0,$H$39&lt;0),"acum.of.oferta sede &gt;oferta lote",IF(AND($G$18&gt;0,$H$39&gt;0,H45&lt;VLOOKUP(B45,'% admitidos'!A:M,11,FALSE)),+"min."&amp;VLOOKUP(B45,'% admitidos'!A:M,11,FALSE),IF(AND($G$18&gt;0,$H$39&gt;0,H45&gt;VLOOKUP(B45,'% admitidos'!A:M,13,FALSE)),+"max."&amp;VLOOKUP(B45,'% admitidos'!A:M,13,FALSE),+H45))))))</f>
        <v/>
      </c>
    </row>
    <row r="46" spans="1:23" s="245" customFormat="1" ht="12" customHeight="1" thickBot="1" x14ac:dyDescent="0.3">
      <c r="A46" s="238" t="s">
        <v>542</v>
      </c>
      <c r="B46" s="239" t="s">
        <v>390</v>
      </c>
      <c r="C46" s="240" t="str">
        <f>+IF(LEN('Anx I pg 1 oferta'!$C$56)&gt;0,"","min. "&amp;VLOOKUP(B45,'% admitidos'!A:M,11,FALSE)&amp;" - med.  "&amp;VLOOKUP(B45,'% admitidos'!A:M,12,FALSE)&amp;" - max.  "&amp;VLOOKUP(B45,'% admitidos'!A:M,13,FALSE))</f>
        <v>min. 0 - med.  0 - max.  0</v>
      </c>
      <c r="D46" s="241"/>
      <c r="E46" s="241"/>
      <c r="F46" s="242"/>
      <c r="G46" s="242"/>
      <c r="H46" s="260"/>
      <c r="J46" s="246"/>
      <c r="K46" s="246"/>
      <c r="L46" s="246"/>
      <c r="M46" s="277"/>
      <c r="N46" s="246"/>
    </row>
    <row r="47" spans="1:23" ht="21.95" customHeight="1" thickBot="1" x14ac:dyDescent="0.3">
      <c r="A47" s="147" t="str">
        <f>+'Anx I pg 1 oferta'!$B$18&amp;"T2_L01_inst_"&amp;B47</f>
        <v>T2_L01_inst_L01-10</v>
      </c>
      <c r="B47" s="62" t="s">
        <v>92</v>
      </c>
      <c r="C47" s="63" t="str">
        <f>+VLOOKUP(B47,'DATOS CENTROS'!B:F,4,FALSE)</f>
        <v>U.I. RTVE Huelva</v>
      </c>
      <c r="D47" s="64"/>
      <c r="E47" s="65" t="str">
        <f>+VLOOKUP(B47,'DATOS CENTROS'!B:F,3,FALSE)</f>
        <v>C</v>
      </c>
      <c r="F47" s="66">
        <f>+VLOOKUP(B47,'DATOS CENTROS'!B:F,5,FALSE)</f>
        <v>1.7000000000000001E-2</v>
      </c>
      <c r="G47" s="81" t="str">
        <f>+IF(OR($G$18=0,LEN($G$18)=0),"",+ROUND(((H47)/$G$18),6))</f>
        <v/>
      </c>
      <c r="H47" s="219"/>
      <c r="J47" s="125"/>
      <c r="K47" s="125"/>
      <c r="L47" s="125"/>
      <c r="M47" s="275" t="str">
        <f>+IFERROR(IF(N47&lt;&gt;TRUNC(N47,2),".+ de 2 decim.",IF(COUNTA($H$29:$H$66)&lt;18,18-COUNTA($H$29:$H$66)&amp;" Items ptes.ofertar ",IF(AND($G$18&gt;0,$H$39&gt;0,(N47)/(N47)=1),"ok","mal"))),"¿max.min.ofertado?")</f>
        <v>¿max.min.ofertado?</v>
      </c>
      <c r="N47" s="125" t="str">
        <f>+IF(OR($G$18=0,LEN($G$18)=0),"",IF(OR($G$18&lt;0,+$G$18/$G$18&lt;&gt;1),"Total oferta Lote incorrecto (no numérico o negativo)",IF(AND($G$18&gt;0,$H$39&gt;0,H47&lt;=0),"¿importe ofertado?",IF(AND($G$18&gt;0,$H$39&lt;0),"acum.of.oferta sede &gt;oferta lote",IF(AND($G$18&gt;0,$H$39&gt;0,H47&lt;VLOOKUP(B47,'% admitidos'!A:M,11,FALSE)),+"min."&amp;VLOOKUP(B47,'% admitidos'!A:M,11,FALSE),IF(AND($G$18&gt;0,$H$39&gt;0,H47&gt;VLOOKUP(B47,'% admitidos'!A:M,13,FALSE)),+"max."&amp;VLOOKUP(B47,'% admitidos'!A:M,13,FALSE),+H47))))))</f>
        <v/>
      </c>
    </row>
    <row r="48" spans="1:23" s="245" customFormat="1" ht="12" customHeight="1" thickBot="1" x14ac:dyDescent="0.3">
      <c r="A48" s="238" t="s">
        <v>542</v>
      </c>
      <c r="B48" s="253" t="s">
        <v>390</v>
      </c>
      <c r="C48" s="254" t="str">
        <f>+IF(LEN('Anx I pg 1 oferta'!$C$56)&gt;0,"","min. "&amp;VLOOKUP(B47,'% admitidos'!A:M,11,FALSE)&amp;" - med.  "&amp;VLOOKUP(B47,'% admitidos'!A:M,12,FALSE)&amp;" - max.  "&amp;+ROUND(VLOOKUP(B47,'% admitidos'!A:M,13,FALSE),6))</f>
        <v>min. 0 - med.  0 - max.  0</v>
      </c>
      <c r="D48" s="255"/>
      <c r="E48" s="255"/>
      <c r="F48" s="255"/>
      <c r="G48" s="255"/>
      <c r="H48" s="261"/>
      <c r="J48" s="259"/>
      <c r="K48" s="259"/>
      <c r="L48" s="259"/>
      <c r="M48" s="277"/>
      <c r="N48" s="259"/>
    </row>
    <row r="49" spans="1:23" ht="21.95" customHeight="1" thickBot="1" x14ac:dyDescent="0.3">
      <c r="A49" s="147" t="str">
        <f>+'Anx I pg 1 oferta'!$B$18&amp;"T2_L01_inst_"&amp;B49</f>
        <v>T2_L01_inst_L01-11</v>
      </c>
      <c r="B49" s="52" t="s">
        <v>95</v>
      </c>
      <c r="C49" s="57" t="str">
        <f>+VLOOKUP(B49,'DATOS CENTROS'!B:F,4,FALSE)</f>
        <v>U.I. RTVE Jaén</v>
      </c>
      <c r="D49" s="58"/>
      <c r="E49" s="59" t="str">
        <f>+VLOOKUP(B49,'DATOS CENTROS'!B:F,3,FALSE)</f>
        <v>C</v>
      </c>
      <c r="F49" s="66">
        <f>+VLOOKUP(B49,'DATOS CENTROS'!B:F,5,FALSE)</f>
        <v>2.7E-2</v>
      </c>
      <c r="G49" s="80" t="str">
        <f>+IF(OR($G$18=0,LEN($G$18)=0),"",+ROUND(((H49)/$G$18),6))</f>
        <v/>
      </c>
      <c r="H49" s="217"/>
      <c r="J49" s="125"/>
      <c r="K49" s="125"/>
      <c r="L49" s="125"/>
      <c r="M49" s="275" t="str">
        <f>+IFERROR(IF(N49&lt;&gt;TRUNC(N49,2),".+ de 2 decim.",IF(COUNTA($H$29:$H$66)&lt;18,18-COUNTA($H$29:$H$66)&amp;" Items ptes.ofertar ",IF(AND($G$18&gt;0,$H$39&gt;0,(N49)/(N49)=1),"ok","mal"))),"¿max.min.ofertado?")</f>
        <v>¿max.min.ofertado?</v>
      </c>
      <c r="N49" s="125" t="str">
        <f>+IF(OR($G$18=0,LEN($G$18)=0),"",IF(OR($G$18&lt;0,+$G$18/$G$18&lt;&gt;1),"Total oferta Lote incorrecto (no numérico o negativo)",IF(AND($G$18&gt;0,$H$39&gt;0,H49&lt;=0),"¿importe ofertado?",IF(AND($G$18&gt;0,$H$39&lt;0),"acum.of.oferta sede &gt;oferta lote",IF(AND($G$18&gt;0,$H$39&lt;&gt;0,H49&lt;VLOOKUP(B49,'% admitidos'!A:M,11,FALSE)),+"min."&amp;VLOOKUP(B49,'% admitidos'!A:M,11,FALSE),IF(AND($G$18&gt;0,$H$39&gt;0,H49&gt;VLOOKUP(B49,'% admitidos'!A:M,13,FALSE)),+"max."&amp;VLOOKUP(B49,'% admitidos'!A:M,13,FALSE),+H49))))))</f>
        <v/>
      </c>
      <c r="Q49" s="101"/>
      <c r="R49" s="101"/>
      <c r="S49" s="101"/>
      <c r="T49" s="101"/>
      <c r="U49" s="101"/>
      <c r="V49" s="101"/>
      <c r="W49" s="101"/>
    </row>
    <row r="50" spans="1:23" s="245" customFormat="1" ht="12" customHeight="1" thickBot="1" x14ac:dyDescent="0.3">
      <c r="A50" s="238" t="s">
        <v>542</v>
      </c>
      <c r="B50" s="239" t="s">
        <v>390</v>
      </c>
      <c r="C50" s="240" t="str">
        <f>+IF(LEN('Anx I pg 1 oferta'!$C$56)&gt;0,"","min. "&amp;VLOOKUP(B49,'% admitidos'!A:M,11,FALSE)&amp;" - med.  "&amp;VLOOKUP(B49,'% admitidos'!A:M,12,FALSE)&amp;" - max.  "&amp;VLOOKUP(B49,'% admitidos'!A:M,13,FALSE))</f>
        <v>min. 0 - med.  0 - max.  0</v>
      </c>
      <c r="D50" s="241"/>
      <c r="E50" s="241"/>
      <c r="F50" s="242"/>
      <c r="G50" s="243"/>
      <c r="H50" s="244"/>
      <c r="J50" s="246"/>
      <c r="K50" s="246"/>
      <c r="L50" s="246"/>
      <c r="M50" s="277"/>
      <c r="N50" s="246"/>
    </row>
    <row r="51" spans="1:23" ht="15.75" thickBot="1" x14ac:dyDescent="0.3">
      <c r="A51" s="147" t="str">
        <f>+'Anx I pg 1 oferta'!$B$18&amp;"T2_L01_cab2(CA)"</f>
        <v>T2_L01_cab2(CA)</v>
      </c>
      <c r="B51" s="83" t="s">
        <v>390</v>
      </c>
      <c r="C51" s="84" t="s">
        <v>98</v>
      </c>
      <c r="D51" s="85"/>
      <c r="E51" s="85"/>
      <c r="F51" s="86"/>
      <c r="G51" s="86"/>
      <c r="H51" s="88"/>
      <c r="M51" s="12"/>
    </row>
    <row r="52" spans="1:23" ht="21.95" customHeight="1" thickBot="1" x14ac:dyDescent="0.3">
      <c r="A52" s="147" t="str">
        <f>+'Anx I pg 1 oferta'!$B$18&amp;"T2_L01_inst_"&amp;B52</f>
        <v>T2_L01_inst_L01-12</v>
      </c>
      <c r="B52" s="52" t="s">
        <v>99</v>
      </c>
      <c r="C52" s="57" t="str">
        <f>+VLOOKUP(B52,'DATOS CENTROS'!B:F,4,FALSE)</f>
        <v>U.I. RTVE Ceuta</v>
      </c>
      <c r="D52" s="58"/>
      <c r="E52" s="59" t="str">
        <f>+VLOOKUP(B52,'DATOS CENTROS'!B:F,3,FALSE)</f>
        <v xml:space="preserve"> A + C</v>
      </c>
      <c r="F52" s="66">
        <f>+VLOOKUP(B52,'DATOS CENTROS'!B:F,5,FALSE)</f>
        <v>4.7E-2</v>
      </c>
      <c r="G52" s="80" t="str">
        <f>+IF(OR($G$18=0,LEN($G$18)=0),"",+ROUND(((H52)/$G$18),6))</f>
        <v/>
      </c>
      <c r="H52" s="217"/>
      <c r="J52" s="125"/>
      <c r="K52" s="125"/>
      <c r="L52" s="125"/>
      <c r="M52" s="275" t="str">
        <f>+IFERROR(IF(N52&lt;&gt;TRUNC(N52,2),".+ de 2 decim.",IF(COUNTA($H$29:$H$66)&lt;18,18-COUNTA($H$29:$H$66)&amp;" Items ptes.ofertar ",IF(AND($G$18&gt;0,$H$39&gt;0,(N52)/(N52)=1),"ok","mal"))),"¿max.min.ofertado?")</f>
        <v>¿max.min.ofertado?</v>
      </c>
      <c r="N52" s="125" t="str">
        <f>+IF(OR($G$18=0,LEN($G$18)=0),"",IF(OR($G$18&lt;0,+$G$18/$G$18&lt;&gt;1),"Total oferta Lote incorrecto (no numérico o negativo)",IF(AND($G$18&gt;0,$H$39&gt;0,H52&lt;=0),"¿importe ofertado?",IF(AND($G$18&gt;0,$H$39&lt;0),"acum.of.oferta sede &gt;oferta lote",IF(AND($G$18&gt;0,$H$39&gt;0,H52&lt;VLOOKUP(B52,'% admitidos'!A:M,11,FALSE)),+"min."&amp;VLOOKUP(B52,'% admitidos'!A:M,11,FALSE),IF(AND($G$18&gt;0,$H$39&gt;0,H52&gt;VLOOKUP(B52,'% admitidos'!A:M,13,FALSE)),+"max."&amp;VLOOKUP(B52,'% admitidos'!A:M,13,FALSE),+H52))))))</f>
        <v/>
      </c>
    </row>
    <row r="53" spans="1:23" s="245" customFormat="1" ht="12" customHeight="1" thickTop="1" thickBot="1" x14ac:dyDescent="0.3">
      <c r="A53" s="238" t="s">
        <v>542</v>
      </c>
      <c r="B53" s="247" t="s">
        <v>390</v>
      </c>
      <c r="C53" s="248" t="str">
        <f>+IF(LEN('Anx I pg 1 oferta'!$C$56)&gt;0,"","min. "&amp;VLOOKUP(B52,'% admitidos'!A:M,11,FALSE)&amp;" - med.  "&amp;VLOOKUP(B52,'% admitidos'!A:M,12,FALSE)&amp;" - max.  "&amp;VLOOKUP(B52,'% admitidos'!A:M,13,FALSE))</f>
        <v>min. 0 - med.  0 - max.  0</v>
      </c>
      <c r="D53" s="249"/>
      <c r="E53" s="249"/>
      <c r="F53" s="250"/>
      <c r="G53" s="251"/>
      <c r="H53" s="252"/>
      <c r="J53" s="246"/>
      <c r="K53" s="246"/>
      <c r="L53" s="246"/>
      <c r="M53" s="277"/>
      <c r="N53" s="246"/>
    </row>
    <row r="54" spans="1:23" ht="21.95" customHeight="1" thickBot="1" x14ac:dyDescent="0.3">
      <c r="A54" s="147" t="str">
        <f>+'Anx I pg 1 oferta'!$B$18&amp;"T2_L01_inst_"&amp;B54</f>
        <v>T2_L01_inst_L01-13</v>
      </c>
      <c r="B54" s="52" t="s">
        <v>102</v>
      </c>
      <c r="C54" s="57" t="str">
        <f>+VLOOKUP(B54,'DATOS CENTROS'!B:F,4,FALSE)</f>
        <v>U.I. RTVE Melilla</v>
      </c>
      <c r="D54" s="58"/>
      <c r="E54" s="59" t="str">
        <f>+VLOOKUP(B54,'DATOS CENTROS'!B:F,3,FALSE)</f>
        <v xml:space="preserve"> A + C</v>
      </c>
      <c r="F54" s="66">
        <f>+VLOOKUP(B54,'DATOS CENTROS'!B:F,5,FALSE)</f>
        <v>3.9E-2</v>
      </c>
      <c r="G54" s="80" t="str">
        <f>+IF(OR($G$18=0,LEN($G$18)=0),"",+ROUND(((H54)/$G$18),6))</f>
        <v/>
      </c>
      <c r="H54" s="217"/>
      <c r="J54" s="125"/>
      <c r="K54" s="125"/>
      <c r="L54" s="125"/>
      <c r="M54" s="275" t="str">
        <f>+IFERROR(IF(N54&lt;&gt;TRUNC(N54,2),".+ de 2 decim.",IF(COUNTA($H$29:$H$66)&lt;18,18-COUNTA($H$29:$H$66)&amp;" Items ptes.ofertar ",IF(AND($G$18&gt;0,$H$39&gt;0,(N54)/(N54)=1),"ok","mal"))),"¿max.min.ofertado?")</f>
        <v>¿max.min.ofertado?</v>
      </c>
      <c r="N54" s="125" t="str">
        <f>+IF(OR($G$18=0,LEN($G$18)=0),"",IF(OR($G$18&lt;0,+$G$18/$G$18&lt;&gt;1),"Total oferta Lote incorrecto (no numérico o negativo)",IF(AND($G$18&gt;0,$H$39&gt;0,H54&lt;=0),"¿importe ofertado?",IF(AND($G$18&gt;0,$H$39&lt;0),"acum.of.oferta sede &gt;oferta lote",IF(AND($G$18&gt;0,$H$39&gt;0,H54&lt;VLOOKUP(B54,'% admitidos'!A:M,11,FALSE)),+"min."&amp;VLOOKUP(B54,'% admitidos'!A:M,11,FALSE),IF(AND($G$18&gt;0,$H$39&gt;0,H54&gt;VLOOKUP(B54,'% admitidos'!A:M,13,FALSE)),+"max."&amp;VLOOKUP(B54,'% admitidos'!A:M,13,FALSE),+H54))))))</f>
        <v/>
      </c>
    </row>
    <row r="55" spans="1:23" s="245" customFormat="1" ht="12" customHeight="1" thickBot="1" x14ac:dyDescent="0.3">
      <c r="A55" s="238" t="s">
        <v>542</v>
      </c>
      <c r="B55" s="239" t="s">
        <v>390</v>
      </c>
      <c r="C55" s="240" t="str">
        <f>+IF(LEN('Anx I pg 1 oferta'!$C$56)&gt;0,"","min. "&amp;VLOOKUP(B54,'% admitidos'!A:M,11,FALSE)&amp;" - med.  "&amp;VLOOKUP(B54,'% admitidos'!A:M,12,FALSE)&amp;" - max.  "&amp;VLOOKUP(B54,'% admitidos'!A:M,13,FALSE))</f>
        <v>min. 0 - med.  0 - max.  0</v>
      </c>
      <c r="D55" s="241"/>
      <c r="E55" s="241"/>
      <c r="F55" s="242"/>
      <c r="G55" s="242"/>
      <c r="H55" s="244"/>
      <c r="J55" s="246"/>
      <c r="K55" s="246"/>
      <c r="L55" s="246"/>
      <c r="M55" s="277"/>
      <c r="N55" s="246"/>
    </row>
    <row r="56" spans="1:23" ht="15.75" thickBot="1" x14ac:dyDescent="0.3">
      <c r="A56" s="147" t="str">
        <f>+'Anx I pg 1 oferta'!$B$18&amp;"T2_L01_cab3(CA)"</f>
        <v>T2_L01_cab3(CA)</v>
      </c>
      <c r="B56" s="83" t="s">
        <v>390</v>
      </c>
      <c r="C56" s="84" t="s">
        <v>105</v>
      </c>
      <c r="D56" s="85"/>
      <c r="E56" s="85"/>
      <c r="F56" s="86"/>
      <c r="G56" s="86"/>
      <c r="H56" s="88"/>
      <c r="M56" s="12"/>
    </row>
    <row r="57" spans="1:23" ht="21.95" customHeight="1" thickBot="1" x14ac:dyDescent="0.3">
      <c r="A57" s="147" t="str">
        <f>+'Anx I pg 1 oferta'!$B$18&amp;"T2_L01_inst_"&amp;B57</f>
        <v>T2_L01_inst_L01-14</v>
      </c>
      <c r="B57" s="52" t="s">
        <v>106</v>
      </c>
      <c r="C57" s="57" t="str">
        <f>+VLOOKUP(B57,'DATOS CENTROS'!B:F,4,FALSE)</f>
        <v>C.E. OM ALDEA CANO / LAS ARGUIJUELA</v>
      </c>
      <c r="D57" s="58"/>
      <c r="E57" s="59" t="str">
        <f>+VLOOKUP(B57,'DATOS CENTROS'!B:F,3,FALSE)</f>
        <v xml:space="preserve"> A + C</v>
      </c>
      <c r="F57" s="66">
        <f>+VLOOKUP(B57,'DATOS CENTROS'!B:F,5,FALSE)</f>
        <v>0.11799999999999999</v>
      </c>
      <c r="G57" s="80" t="str">
        <f>+IF(OR($G$18=0,LEN($G$18)=0),"",+ROUND(((H57)/$G$18),6))</f>
        <v/>
      </c>
      <c r="H57" s="217"/>
      <c r="J57" s="125"/>
      <c r="K57" s="125"/>
      <c r="L57" s="125"/>
      <c r="M57" s="275" t="str">
        <f>+IFERROR(IF(N57&lt;&gt;TRUNC(N57,2),".+ de 2 decim.",IF(COUNTA($H$29:$H$66)&lt;18,18-COUNTA($H$29:$H$66)&amp;" Items ptes.ofertar ",IF(AND($G$18&gt;0,$H$39&gt;0,(N57)/(N57)=1),"ok","mal"))),"¿max.min.ofertado?")</f>
        <v>¿max.min.ofertado?</v>
      </c>
      <c r="N57" s="125" t="str">
        <f>+IF(OR($G$18=0,LEN($G$18)=0),"",IF(OR($G$18&lt;0,+$G$18/$G$18&lt;&gt;1),"Total oferta Lote incorrecto (no numérico o negativo)",IF(AND($G$18&gt;0,$H$39&gt;0,H57&lt;=0),"¿importe ofertado?",IF(AND($G$18&gt;0,$H$39&lt;0),"acum.of.oferta sede &gt;oferta lote",IF(AND($G$18&gt;0,$H$39&gt;0,H57&lt;VLOOKUP(B57,'% admitidos'!A:M,11,FALSE)),+"min."&amp;VLOOKUP(B57,'% admitidos'!A:M,11,FALSE),IF(AND($G$18&gt;0,$H$39&gt;0,H57&gt;VLOOKUP(B57,'% admitidos'!A:M,13,FALSE)),+"max."&amp;VLOOKUP(B57,'% admitidos'!A:M,13,FALSE),+H57))))))</f>
        <v/>
      </c>
    </row>
    <row r="58" spans="1:23" s="245" customFormat="1" ht="12" customHeight="1" thickTop="1" thickBot="1" x14ac:dyDescent="0.3">
      <c r="A58" s="238" t="s">
        <v>542</v>
      </c>
      <c r="B58" s="247" t="s">
        <v>390</v>
      </c>
      <c r="C58" s="248" t="str">
        <f>+IF(LEN('Anx I pg 1 oferta'!$C$56)&gt;0,"","min. "&amp;VLOOKUP(B57,'% admitidos'!A:M,11,FALSE)&amp;" - med.  "&amp;VLOOKUP(B57,'% admitidos'!A:M,12,FALSE)&amp;" - max.  "&amp;VLOOKUP(B57,'% admitidos'!A:M,13,FALSE))</f>
        <v>min. 0 - med.  0 - max.  0</v>
      </c>
      <c r="D58" s="249"/>
      <c r="E58" s="249"/>
      <c r="F58" s="250"/>
      <c r="G58" s="250"/>
      <c r="H58" s="262"/>
      <c r="J58" s="246"/>
      <c r="K58" s="246"/>
      <c r="L58" s="246"/>
      <c r="M58" s="277"/>
      <c r="N58" s="246"/>
    </row>
    <row r="59" spans="1:23" ht="21.95" customHeight="1" thickBot="1" x14ac:dyDescent="0.3">
      <c r="A59" s="147" t="str">
        <f>+'Anx I pg 1 oferta'!$B$18&amp;"T2_L01_inst_"&amp;B59</f>
        <v>T2_L01_inst_L01-15</v>
      </c>
      <c r="B59" s="52" t="s">
        <v>108</v>
      </c>
      <c r="C59" s="57" t="str">
        <f>+VLOOKUP(B59,'DATOS CENTROS'!B:F,4,FALSE)</f>
        <v>C.T. RTVE Mérida</v>
      </c>
      <c r="D59" s="58"/>
      <c r="E59" s="59" t="str">
        <f>+VLOOKUP(B59,'DATOS CENTROS'!B:F,3,FALSE)</f>
        <v xml:space="preserve"> A + C</v>
      </c>
      <c r="F59" s="66">
        <f>+VLOOKUP(B59,'DATOS CENTROS'!B:F,5,FALSE)</f>
        <v>8.7999999999999995E-2</v>
      </c>
      <c r="G59" s="80" t="str">
        <f>+IF(OR($G$18=0,LEN($G$18)=0),"",+ROUND(((H59)/$G$18),6))</f>
        <v/>
      </c>
      <c r="H59" s="217"/>
      <c r="J59" s="125"/>
      <c r="K59" s="125"/>
      <c r="L59" s="125"/>
      <c r="M59" s="275" t="str">
        <f>+IFERROR(IF(N59&lt;&gt;TRUNC(N59,2),".+ de 2 decim.",IF(COUNTA($H$29:$H$66)&lt;18,18-COUNTA($H$29:$H$66)&amp;" Items ptes.ofertar ",IF(AND($G$18&gt;0,$H$39&gt;0,(N59)/(N59)=1),"ok","mal"))),"¿max.min.ofertado?")</f>
        <v>¿max.min.ofertado?</v>
      </c>
      <c r="N59" s="125" t="str">
        <f>+IF(OR($G$18=0,LEN($G$18)=0),"",IF(OR($G$18&lt;0,+$G$18/$G$18&lt;&gt;1),"Total oferta Lote incorrecto (no numérico o negativo)",IF(AND($G$18&gt;0,$H$39&gt;0,H59&lt;=0),"¿importe ofertado?",IF(AND($G$18&gt;0,$H$39&lt;0),"acum.of.oferta sede &gt;oferta lote",IF(AND($G$18&gt;0,$H$39&gt;0,H59&lt;VLOOKUP(B59,'% admitidos'!A:M,11,FALSE)),+"min."&amp;VLOOKUP(B59,'% admitidos'!A:M,11,FALSE),IF(AND($G$18&gt;0,$H$39&gt;0,H59&gt;VLOOKUP(B59,'% admitidos'!A:M,13,FALSE)),+"max."&amp;+ROUND(VLOOKUP(B59,'% admitidos'!A:M,13,FALSE),4),+H59))))))</f>
        <v/>
      </c>
    </row>
    <row r="60" spans="1:23" s="245" customFormat="1" ht="12" customHeight="1" thickTop="1" thickBot="1" x14ac:dyDescent="0.3">
      <c r="A60" s="238" t="s">
        <v>542</v>
      </c>
      <c r="B60" s="247" t="s">
        <v>390</v>
      </c>
      <c r="C60" s="248" t="str">
        <f>+IF(LEN('Anx I pg 1 oferta'!$C$56)&gt;0,"","min. "&amp;VLOOKUP(B59,'% admitidos'!A:M,11,FALSE)&amp;" - med.  "&amp;VLOOKUP(B59,'% admitidos'!A:M,12,FALSE)&amp;" - max.  "&amp;+ROUND(VLOOKUP(B59,'% admitidos'!A:M,13,FALSE),6))</f>
        <v>min. 0 - med.  0 - max.  0</v>
      </c>
      <c r="D60" s="249"/>
      <c r="E60" s="249"/>
      <c r="F60" s="249"/>
      <c r="G60" s="249"/>
      <c r="H60" s="258"/>
      <c r="J60" s="259"/>
      <c r="K60" s="259"/>
      <c r="L60" s="259"/>
      <c r="M60" s="277"/>
      <c r="N60" s="259"/>
    </row>
    <row r="61" spans="1:23" ht="21.95" customHeight="1" thickBot="1" x14ac:dyDescent="0.3">
      <c r="A61" s="147" t="str">
        <f>+'Anx I pg 1 oferta'!$B$18&amp;"T2_L01_inst_"&amp;B61</f>
        <v>T2_L01_inst_L01-16</v>
      </c>
      <c r="B61" s="52" t="s">
        <v>111</v>
      </c>
      <c r="C61" s="57" t="str">
        <f>+VLOOKUP(B61,'DATOS CENTROS'!B:F,4,FALSE)</f>
        <v>C.T. RNE Extremadura</v>
      </c>
      <c r="D61" s="58"/>
      <c r="E61" s="59" t="str">
        <f>+VLOOKUP(B61,'DATOS CENTROS'!B:F,3,FALSE)</f>
        <v>C</v>
      </c>
      <c r="F61" s="66">
        <f>+VLOOKUP(B61,'DATOS CENTROS'!B:F,5,FALSE)</f>
        <v>1.7000000000000001E-2</v>
      </c>
      <c r="G61" s="80" t="str">
        <f>+IF(OR($G$18=0,LEN($G$18)=0),"",+ROUND(((H61)/$G$18),6))</f>
        <v/>
      </c>
      <c r="H61" s="217"/>
      <c r="J61" s="125"/>
      <c r="K61" s="125"/>
      <c r="L61" s="125"/>
      <c r="M61" s="275" t="str">
        <f>+IFERROR(IF(N61&lt;&gt;TRUNC(N61,2),".+ de 2 decim.",IF(COUNTA($H$29:$H$66)&lt;18,18-COUNTA($H$29:$H$66)&amp;" Items ptes.ofertar ",IF(AND($G$18&gt;0,$H$39&gt;0,(N61)/(N61)=1),"ok","mal"))),"¿max.min.ofertado?")</f>
        <v>¿max.min.ofertado?</v>
      </c>
      <c r="N61" s="125" t="str">
        <f>+IF(OR($G$18=0,LEN($G$18)=0),"",IF(OR($G$18&lt;0,+$G$18/$G$18&lt;&gt;1),"Total oferta Lote incorrecto (no numérico o negativo)",IF(AND($G$18&gt;0,$H$39&gt;0,H61&lt;=0),"¿importe ofertado?",IF(AND($G$18&gt;0,$H$39&lt;0),"acum.of.oferta sede &gt;oferta lote",IF(AND($G$18&gt;0,$H$39&lt;&gt;0,H61&lt;VLOOKUP(B61,'% admitidos'!A:M,11,FALSE)),+"min."&amp;VLOOKUP(B61,'% admitidos'!A:M,11,FALSE),IF(AND($G$18&gt;0,$H$39&gt;0,H61&gt;VLOOKUP(B61,'% admitidos'!A:M,13,FALSE)),+"max."&amp;VLOOKUP(B61,'% admitidos'!A:M,13,FALSE),+H61))))))</f>
        <v/>
      </c>
      <c r="Q61" s="101"/>
      <c r="R61" s="101"/>
      <c r="S61" s="101"/>
      <c r="T61" s="101"/>
      <c r="U61" s="101"/>
      <c r="V61" s="101"/>
      <c r="W61" s="101"/>
    </row>
    <row r="62" spans="1:23" s="245" customFormat="1" ht="12" customHeight="1" thickBot="1" x14ac:dyDescent="0.3">
      <c r="A62" s="238" t="s">
        <v>542</v>
      </c>
      <c r="B62" s="239" t="s">
        <v>390</v>
      </c>
      <c r="C62" s="240" t="str">
        <f>+IF(LEN('Anx I pg 1 oferta'!$C$56)&gt;0,"","min. "&amp;VLOOKUP(B61,'% admitidos'!A:M,11,FALSE)&amp;" - med.  "&amp;VLOOKUP(B61,'% admitidos'!A:M,12,FALSE)&amp;" - max.  "&amp;VLOOKUP(B61,'% admitidos'!A:M,13,FALSE))</f>
        <v>min. 0 - med.  0 - max.  0</v>
      </c>
      <c r="D62" s="241"/>
      <c r="E62" s="241"/>
      <c r="F62" s="242"/>
      <c r="G62" s="243"/>
      <c r="H62" s="244"/>
      <c r="J62" s="246"/>
      <c r="K62" s="246"/>
      <c r="L62" s="246"/>
      <c r="M62" s="277"/>
      <c r="N62" s="246"/>
    </row>
    <row r="63" spans="1:23" ht="21.95" customHeight="1" thickBot="1" x14ac:dyDescent="0.3">
      <c r="A63" s="147" t="str">
        <f>+'Anx I pg 1 oferta'!$B$18&amp;"T2_L01_inst_"&amp;B63</f>
        <v>T2_L01_inst_L01-17</v>
      </c>
      <c r="B63" s="52" t="s">
        <v>114</v>
      </c>
      <c r="C63" s="57" t="str">
        <f>+VLOOKUP(B63,'DATOS CENTROS'!B:F,4,FALSE)</f>
        <v>S.U. Mérida (Moreno de Vargas)</v>
      </c>
      <c r="D63" s="58"/>
      <c r="E63" s="59" t="str">
        <f>+VLOOKUP(B63,'DATOS CENTROS'!B:F,3,FALSE)</f>
        <v>C</v>
      </c>
      <c r="F63" s="66">
        <f>+VLOOKUP(B63,'DATOS CENTROS'!B:F,5,FALSE)</f>
        <v>1.2E-2</v>
      </c>
      <c r="G63" s="80" t="str">
        <f>+IF(OR($G$18=0,LEN($G$18)=0),"",+ROUND(((H63)/$G$18),6))</f>
        <v/>
      </c>
      <c r="H63" s="217"/>
      <c r="J63" s="125"/>
      <c r="K63" s="125"/>
      <c r="L63" s="125"/>
      <c r="M63" s="275" t="str">
        <f>+IFERROR(IF(N63&lt;&gt;TRUNC(N63,2),".+ de 2 decim.",IF(COUNTA($H$29:$H$66)&lt;18,18-COUNTA($H$29:$H$66)&amp;" Items ptes.ofertar ",IF(AND($G$18&gt;0,$H$39&gt;0,(N63)/(N63)=1),"ok","mal"))),"¿max.min.ofertado?")</f>
        <v>¿max.min.ofertado?</v>
      </c>
      <c r="N63" s="125" t="str">
        <f>+IF(OR($G$18=0,LEN($G$18)=0),"",IF(OR($G$18&lt;0,+$G$18/$G$18&lt;&gt;1),"Total oferta Lote incorrecto (no numérico o negativo)",IF(AND($G$18&gt;0,$H$39&gt;0,H63&lt;=0),"¿importe ofertado?",IF(AND($G$18&gt;0,$H$39&lt;0),"acum.of.oferta sede &gt;oferta lote",IF(AND($G$18&gt;0,$H$39&gt;0,H63&lt;VLOOKUP(B63,'% admitidos'!A:M,11,FALSE)),+"min."&amp;VLOOKUP(B63,'% admitidos'!A:M,11,FALSE),IF(AND($G$18&gt;0,$H$39&gt;0,H63&gt;VLOOKUP(B63,'% admitidos'!A:M,13,FALSE)),+"max."&amp;VLOOKUP(B63,'% admitidos'!A:M,13,FALSE),+H63))))))</f>
        <v/>
      </c>
    </row>
    <row r="64" spans="1:23" s="245" customFormat="1" ht="12" customHeight="1" thickTop="1" thickBot="1" x14ac:dyDescent="0.3">
      <c r="A64" s="238" t="s">
        <v>542</v>
      </c>
      <c r="B64" s="247" t="s">
        <v>390</v>
      </c>
      <c r="C64" s="248" t="str">
        <f>+IF(LEN('Anx I pg 1 oferta'!$C$56)&gt;0,"","min. "&amp;VLOOKUP(B63,'% admitidos'!A:M,11,FALSE)&amp;" - med.  "&amp;VLOOKUP(B63,'% admitidos'!A:M,12,FALSE)&amp;" - max.  "&amp;VLOOKUP(B63,'% admitidos'!A:M,13,FALSE))</f>
        <v>min. 0 - med.  0 - max.  0</v>
      </c>
      <c r="D64" s="249"/>
      <c r="E64" s="249"/>
      <c r="F64" s="250"/>
      <c r="G64" s="251"/>
      <c r="H64" s="252"/>
      <c r="J64" s="246"/>
      <c r="K64" s="246"/>
      <c r="L64" s="246"/>
      <c r="M64" s="277"/>
      <c r="N64" s="246"/>
    </row>
    <row r="65" spans="1:16" ht="21.95" customHeight="1" thickBot="1" x14ac:dyDescent="0.3">
      <c r="A65" s="147" t="str">
        <f>+'Anx I pg 1 oferta'!$B$18&amp;"T2_L01_inst_"&amp;B65</f>
        <v>T2_L01_inst_L01-18</v>
      </c>
      <c r="B65" s="52" t="s">
        <v>117</v>
      </c>
      <c r="C65" s="57" t="str">
        <f>+VLOOKUP(B65,'DATOS CENTROS'!B:F,4,FALSE)</f>
        <v>U.I. RTVE Badajoz</v>
      </c>
      <c r="D65" s="58"/>
      <c r="E65" s="59" t="str">
        <f>+VLOOKUP(B65,'DATOS CENTROS'!B:F,3,FALSE)</f>
        <v>C</v>
      </c>
      <c r="F65" s="66">
        <f>+VLOOKUP(B65,'DATOS CENTROS'!B:F,5,FALSE)</f>
        <v>1.4999999999999999E-2</v>
      </c>
      <c r="G65" s="80" t="str">
        <f>+IF(OR($G$18=0,LEN($G$18)=0),"",+ROUND(((H65)/$G$18),6))</f>
        <v/>
      </c>
      <c r="H65" s="217"/>
      <c r="J65" s="125"/>
      <c r="K65" s="125"/>
      <c r="L65" s="125"/>
      <c r="M65" s="275" t="str">
        <f>+IFERROR(IF(N65&lt;&gt;TRUNC(N65,2),".+ de 2 decim.",IF(COUNTA($H$29:$H$66)&lt;18,18-COUNTA($H$29:$H$66)&amp;" Items ptes.ofertar ",IF(AND($G$18&gt;0,$H$39&gt;0,(N65)/(N65)=1),"ok","mal"))),"¿max.min.ofertado?")</f>
        <v>¿max.min.ofertado?</v>
      </c>
      <c r="N65" s="125" t="str">
        <f>+IF(OR($G$18=0,LEN($G$18)=0),"",IF(OR($G$18&lt;0,+$G$18/$G$18&lt;&gt;1),"Total oferta Lote incorrecto (no numérico o negativo)",IF(AND($G$18&gt;0,$H$39&gt;0,H65&lt;=0),"¿importe ofertado?",IF(AND($G$18&gt;0,$H$39&lt;0),"acum.of.oferta sede &gt;oferta lote",IF(AND($G$18&gt;0,$H$39&gt;0,H65&lt;VLOOKUP(B65,'% admitidos'!A:M,11,FALSE)),+"min."&amp;VLOOKUP(B65,'% admitidos'!A:M,11,FALSE),IF(AND($G$18&gt;0,$H$39&gt;0,H65&gt;VLOOKUP(B65,'% admitidos'!A:M,13,FALSE)),+"max."&amp;VLOOKUP(B65,'% admitidos'!A:M,13,FALSE),+H65))))))</f>
        <v/>
      </c>
    </row>
    <row r="66" spans="1:16" s="245" customFormat="1" ht="12" customHeight="1" thickBot="1" x14ac:dyDescent="0.3">
      <c r="A66" s="238" t="s">
        <v>542</v>
      </c>
      <c r="B66" s="239" t="s">
        <v>390</v>
      </c>
      <c r="C66" s="240" t="str">
        <f>+IF(LEN('Anx I pg 1 oferta'!$C$56)&gt;0,"","min. "&amp;VLOOKUP(B65,'% admitidos'!A:M,11,FALSE)&amp;" - med.  "&amp;VLOOKUP(B65,'% admitidos'!A:M,12,FALSE)&amp;" - max.  "&amp;VLOOKUP(B65,'% admitidos'!A:M,13,FALSE))</f>
        <v>min. 0 - med.  0 - max.  0</v>
      </c>
      <c r="D66" s="241"/>
      <c r="E66" s="241"/>
      <c r="F66" s="242"/>
      <c r="G66" s="242"/>
      <c r="H66" s="244"/>
      <c r="J66" s="184"/>
      <c r="N66" s="246"/>
    </row>
    <row r="67" spans="1:16" x14ac:dyDescent="0.25">
      <c r="A67" s="147" t="str">
        <f>+'Anx I pg 1 oferta'!$B$18&amp;"T2_L01_TOT"</f>
        <v>T2_L01_TOT</v>
      </c>
      <c r="B67" s="276" t="s">
        <v>390</v>
      </c>
      <c r="C67" s="122"/>
      <c r="D67" s="122"/>
      <c r="E67" s="122"/>
      <c r="F67" s="285">
        <f>SUM(F29:F66)</f>
        <v>1</v>
      </c>
      <c r="G67" s="286">
        <f>SUM(G29:G66)</f>
        <v>0</v>
      </c>
      <c r="H67" s="287">
        <f>SUM(H29:H66)</f>
        <v>0</v>
      </c>
      <c r="I67" s="15"/>
    </row>
    <row r="68" spans="1:16" x14ac:dyDescent="0.25">
      <c r="A68" s="147" t="s">
        <v>544</v>
      </c>
    </row>
    <row r="69" spans="1:16" x14ac:dyDescent="0.25">
      <c r="A69" s="147" t="s">
        <v>544</v>
      </c>
      <c r="M69" s="82"/>
      <c r="P69" s="82"/>
    </row>
    <row r="70" spans="1:16" x14ac:dyDescent="0.25">
      <c r="A70" s="147" t="s">
        <v>544</v>
      </c>
    </row>
    <row r="71" spans="1:16" ht="30" customHeight="1" x14ac:dyDescent="0.25">
      <c r="A71" s="147" t="s">
        <v>544</v>
      </c>
      <c r="B71" s="226" t="s">
        <v>530</v>
      </c>
    </row>
    <row r="72" spans="1:16" x14ac:dyDescent="0.25">
      <c r="A72" s="147" t="s">
        <v>544</v>
      </c>
    </row>
    <row r="73" spans="1:16" x14ac:dyDescent="0.25">
      <c r="A73" s="147" t="s">
        <v>544</v>
      </c>
      <c r="B73" s="2" t="s">
        <v>535</v>
      </c>
    </row>
    <row r="74" spans="1:16" ht="15.75" thickBot="1" x14ac:dyDescent="0.3">
      <c r="A74" s="147" t="s">
        <v>544</v>
      </c>
      <c r="B74" s="155" t="str">
        <f>+$B$11</f>
        <v>Lote  1 : CCAA Andalucía y Extremadura, Ciudades Autónomas de Ceuta y Melilla</v>
      </c>
    </row>
    <row r="75" spans="1:16" ht="30" customHeight="1" thickBot="1" x14ac:dyDescent="0.3">
      <c r="A75" s="147" t="str">
        <f>+'Anx I pg 1 oferta'!$B$18&amp;"T3_L01_cab0a"</f>
        <v>T3_L01_cab0a</v>
      </c>
      <c r="B75" s="103" t="s">
        <v>59</v>
      </c>
      <c r="C75" s="103" t="s">
        <v>379</v>
      </c>
      <c r="D75" s="103" t="s">
        <v>60</v>
      </c>
      <c r="E75" s="103" t="s">
        <v>359</v>
      </c>
      <c r="F75" s="104" t="s">
        <v>378</v>
      </c>
      <c r="G75" s="105" t="s">
        <v>533</v>
      </c>
      <c r="H75" s="103" t="s">
        <v>360</v>
      </c>
      <c r="I75" s="103" t="s">
        <v>361</v>
      </c>
      <c r="J75" s="106" t="s">
        <v>380</v>
      </c>
      <c r="K75" s="274" t="s">
        <v>490</v>
      </c>
      <c r="L75" s="43"/>
    </row>
    <row r="76" spans="1:16" ht="15.75" thickBot="1" x14ac:dyDescent="0.3">
      <c r="A76" s="147" t="str">
        <f>+'Anx I pg 1 oferta'!$B$18&amp;"T3_L01_cab0b"</f>
        <v>T3_L01_cab0b</v>
      </c>
      <c r="B76" s="74" t="s">
        <v>492</v>
      </c>
      <c r="C76" s="75" t="s">
        <v>400</v>
      </c>
      <c r="D76" s="76"/>
      <c r="E76" s="77"/>
      <c r="F76" s="78">
        <v>1</v>
      </c>
      <c r="G76" s="79"/>
      <c r="H76" s="76"/>
      <c r="I76" s="76"/>
      <c r="J76" s="76"/>
      <c r="K76" s="273"/>
      <c r="L76" s="43"/>
    </row>
    <row r="77" spans="1:16" ht="15.75" thickBot="1" x14ac:dyDescent="0.3">
      <c r="A77" s="147" t="str">
        <f>+'Anx I pg 1 oferta'!$B$18&amp;"T3_L01_cab1(CA)"</f>
        <v>T3_L01_cab1(CA)</v>
      </c>
      <c r="B77" s="44" t="s">
        <v>390</v>
      </c>
      <c r="C77" s="45" t="s">
        <v>401</v>
      </c>
      <c r="D77" s="46"/>
      <c r="E77" s="46"/>
      <c r="F77" s="46"/>
      <c r="G77" s="46"/>
      <c r="H77" s="46"/>
      <c r="I77" s="46"/>
      <c r="J77" s="46"/>
      <c r="K77" s="127">
        <f>+G18</f>
        <v>0</v>
      </c>
      <c r="L77" s="43"/>
    </row>
    <row r="78" spans="1:16" ht="15.75" thickBot="1" x14ac:dyDescent="0.3">
      <c r="A78" s="147" t="str">
        <f>+'Anx I pg 1 oferta'!$B$18&amp;"T3_L01_inst_"&amp;B78&amp;"DA1"</f>
        <v>T3_L01_inst_L01-01DA1</v>
      </c>
      <c r="B78" s="319" t="s">
        <v>64</v>
      </c>
      <c r="C78" s="322" t="str">
        <f>+VLOOKUP(B78,'DATOS CENTROS'!B:E,2,FALSE)</f>
        <v>Carretera  Sabinal nº s/n Las Marinas  04740</v>
      </c>
      <c r="D78" s="325" t="str">
        <f>+VLOOKUP(B78,'DATOS CENTROS'!B:E,3,FALSE)</f>
        <v xml:space="preserve"> A + C</v>
      </c>
      <c r="E78" s="328" t="str">
        <f>+VLOOKUP(B78,'DATOS CENTROS'!B:E,4,FALSE)</f>
        <v>C.E. OM ROQUETAS</v>
      </c>
      <c r="F78" s="331">
        <f>+VLOOKUP(B78,'DATOS CENTROS'!B:F,5,FALSE)</f>
        <v>8.5999999999999993E-2</v>
      </c>
      <c r="G78" s="336" t="str">
        <f>+IF(G29&gt;0,G29,"")</f>
        <v/>
      </c>
      <c r="H78" s="47" t="s">
        <v>25</v>
      </c>
      <c r="I78" s="72">
        <v>0.15</v>
      </c>
      <c r="J78" s="73" t="e">
        <f>+IF($K$78&gt;0,+ROUND($K$78*I78,0),"")</f>
        <v>#VALUE!</v>
      </c>
      <c r="K78" s="339" t="str">
        <f>+IFERROR(IF(OR($G$18=0,LEN($G$18)=0),"",IF(AND(M29="ok",(H29/H29)=1),N29,"")),"¿?")</f>
        <v/>
      </c>
      <c r="L78" s="43"/>
    </row>
    <row r="79" spans="1:16" ht="15.75" thickBot="1" x14ac:dyDescent="0.3">
      <c r="A79" s="147" t="str">
        <f>+'Anx I pg 1 oferta'!$B$18&amp;"T3_L01_inst_"&amp;B78&amp;"DA2"</f>
        <v>T3_L01_inst_L01-01DA2</v>
      </c>
      <c r="B79" s="320"/>
      <c r="C79" s="323"/>
      <c r="D79" s="326"/>
      <c r="E79" s="329"/>
      <c r="F79" s="332"/>
      <c r="G79" s="337"/>
      <c r="H79" s="47" t="s">
        <v>26</v>
      </c>
      <c r="I79" s="72">
        <v>0.1</v>
      </c>
      <c r="J79" s="73" t="e">
        <f t="shared" ref="J79:J81" si="0">+IF($K$78&gt;0,+ROUND($K$78*I79,0),"")</f>
        <v>#VALUE!</v>
      </c>
      <c r="K79" s="340"/>
      <c r="L79" s="43"/>
    </row>
    <row r="80" spans="1:16" ht="15.75" thickBot="1" x14ac:dyDescent="0.3">
      <c r="A80" s="147" t="str">
        <f>+'Anx I pg 1 oferta'!$B$18&amp;"T3_L01_inst_"&amp;B78&amp;"DA3"</f>
        <v>T3_L01_inst_L01-01DA3</v>
      </c>
      <c r="B80" s="320"/>
      <c r="C80" s="323"/>
      <c r="D80" s="326"/>
      <c r="E80" s="329"/>
      <c r="F80" s="332"/>
      <c r="G80" s="337"/>
      <c r="H80" s="47" t="s">
        <v>27</v>
      </c>
      <c r="I80" s="72">
        <v>0.2</v>
      </c>
      <c r="J80" s="73" t="e">
        <f t="shared" si="0"/>
        <v>#VALUE!</v>
      </c>
      <c r="K80" s="340"/>
      <c r="L80" s="43"/>
    </row>
    <row r="81" spans="1:12" ht="15.75" thickBot="1" x14ac:dyDescent="0.3">
      <c r="A81" s="147" t="str">
        <f>+'Anx I pg 1 oferta'!$B$18&amp;"T3_L01_inst_"&amp;B78&amp;"DA4"</f>
        <v>T3_L01_inst_L01-01DA4</v>
      </c>
      <c r="B81" s="320"/>
      <c r="C81" s="323"/>
      <c r="D81" s="326"/>
      <c r="E81" s="329"/>
      <c r="F81" s="332"/>
      <c r="G81" s="337"/>
      <c r="H81" s="47" t="s">
        <v>57</v>
      </c>
      <c r="I81" s="72">
        <v>0.05</v>
      </c>
      <c r="J81" s="73" t="e">
        <f t="shared" si="0"/>
        <v>#VALUE!</v>
      </c>
      <c r="K81" s="340"/>
      <c r="L81" s="43"/>
    </row>
    <row r="82" spans="1:12" ht="15.75" thickBot="1" x14ac:dyDescent="0.3">
      <c r="A82" s="147" t="str">
        <f>+'Anx I pg 1 oferta'!$B$18&amp;"T3_L01_inst_"&amp;B78&amp;"DA5"</f>
        <v>T3_L01_inst_L01-01DA5</v>
      </c>
      <c r="B82" s="321"/>
      <c r="C82" s="324"/>
      <c r="D82" s="327"/>
      <c r="E82" s="330"/>
      <c r="F82" s="333"/>
      <c r="G82" s="338"/>
      <c r="H82" s="47" t="s">
        <v>364</v>
      </c>
      <c r="I82" s="72">
        <v>0.5</v>
      </c>
      <c r="J82" s="73" t="e">
        <f>+IF($K$78&gt;0,+$K$78-SUM(J78:J81),"")</f>
        <v>#VALUE!</v>
      </c>
      <c r="K82" s="341"/>
      <c r="L82" s="43"/>
    </row>
    <row r="83" spans="1:12" ht="15.75" customHeight="1" thickBot="1" x14ac:dyDescent="0.3">
      <c r="A83" s="147" t="str">
        <f>+'Anx I pg 1 oferta'!$B$18&amp;"T3_L01_inst_"&amp;B83&amp;"DA1"</f>
        <v>T3_L01_inst_L01-02DA1</v>
      </c>
      <c r="B83" s="319" t="s">
        <v>67</v>
      </c>
      <c r="C83" s="322" t="str">
        <f>+VLOOKUP(B83,'DATOS CENTROS'!B:E,2,FALSE)</f>
        <v>Campanilla</v>
      </c>
      <c r="D83" s="325" t="str">
        <f>+VLOOKUP(B83,'DATOS CENTROS'!B:E,3,FALSE)</f>
        <v xml:space="preserve"> A + C</v>
      </c>
      <c r="E83" s="328" t="str">
        <f>+VLOOKUP(B83,'DATOS CENTROS'!B:E,4,FALSE)</f>
        <v>C.E. OM CAMPANILLAS</v>
      </c>
      <c r="F83" s="331">
        <f>+VLOOKUP(B83,'DATOS CENTROS'!B:F,5,FALSE)</f>
        <v>7.0999999999999994E-2</v>
      </c>
      <c r="G83" s="336" t="str">
        <f>+IF(G31&gt;0,G31,"")</f>
        <v/>
      </c>
      <c r="H83" s="47" t="s">
        <v>25</v>
      </c>
      <c r="I83" s="72">
        <v>0.15</v>
      </c>
      <c r="J83" s="73" t="e">
        <f>+IF($K$83&gt;0,+ROUND($K$83*I83,0),"")</f>
        <v>#VALUE!</v>
      </c>
      <c r="K83" s="339" t="str">
        <f>+IFERROR(IF(OR($G$18=0,LEN($G$18)=0),"",IF(AND(M31="ok",(H31/H31)=1),N31,"")),"¿?")</f>
        <v/>
      </c>
      <c r="L83" s="43"/>
    </row>
    <row r="84" spans="1:12" ht="15.75" thickBot="1" x14ac:dyDescent="0.3">
      <c r="A84" s="147" t="str">
        <f>+'Anx I pg 1 oferta'!$B$18&amp;"T3_L01_inst_"&amp;B83&amp;"DA2"</f>
        <v>T3_L01_inst_L01-02DA2</v>
      </c>
      <c r="B84" s="320"/>
      <c r="C84" s="323"/>
      <c r="D84" s="326"/>
      <c r="E84" s="329"/>
      <c r="F84" s="332"/>
      <c r="G84" s="337"/>
      <c r="H84" s="47" t="s">
        <v>26</v>
      </c>
      <c r="I84" s="72">
        <v>0.1</v>
      </c>
      <c r="J84" s="73" t="e">
        <f t="shared" ref="J84:J86" si="1">+IF($K$83&gt;0,+ROUND($K$83*I84,0),"")</f>
        <v>#VALUE!</v>
      </c>
      <c r="K84" s="340"/>
      <c r="L84" s="43"/>
    </row>
    <row r="85" spans="1:12" ht="15.75" thickBot="1" x14ac:dyDescent="0.3">
      <c r="A85" s="147" t="str">
        <f>+'Anx I pg 1 oferta'!$B$18&amp;"T3_L01_inst_"&amp;B83&amp;"DA3"</f>
        <v>T3_L01_inst_L01-02DA3</v>
      </c>
      <c r="B85" s="320"/>
      <c r="C85" s="323"/>
      <c r="D85" s="326"/>
      <c r="E85" s="329"/>
      <c r="F85" s="332"/>
      <c r="G85" s="337"/>
      <c r="H85" s="47" t="s">
        <v>27</v>
      </c>
      <c r="I85" s="72">
        <v>0.2</v>
      </c>
      <c r="J85" s="73" t="e">
        <f t="shared" si="1"/>
        <v>#VALUE!</v>
      </c>
      <c r="K85" s="340"/>
      <c r="L85" s="43"/>
    </row>
    <row r="86" spans="1:12" ht="15.75" thickBot="1" x14ac:dyDescent="0.3">
      <c r="A86" s="147" t="str">
        <f>+'Anx I pg 1 oferta'!$B$18&amp;"T3_L01_inst_"&amp;B83&amp;"DA4"</f>
        <v>T3_L01_inst_L01-02DA4</v>
      </c>
      <c r="B86" s="320"/>
      <c r="C86" s="323"/>
      <c r="D86" s="326"/>
      <c r="E86" s="329"/>
      <c r="F86" s="332"/>
      <c r="G86" s="337"/>
      <c r="H86" s="47" t="s">
        <v>57</v>
      </c>
      <c r="I86" s="72">
        <v>0.05</v>
      </c>
      <c r="J86" s="73" t="e">
        <f t="shared" si="1"/>
        <v>#VALUE!</v>
      </c>
      <c r="K86" s="340"/>
      <c r="L86" s="43"/>
    </row>
    <row r="87" spans="1:12" ht="15.75" thickBot="1" x14ac:dyDescent="0.3">
      <c r="A87" s="147" t="str">
        <f>+'Anx I pg 1 oferta'!$B$18&amp;"T3_L01_inst_"&amp;B83&amp;"DA5"</f>
        <v>T3_L01_inst_L01-02DA5</v>
      </c>
      <c r="B87" s="321"/>
      <c r="C87" s="324"/>
      <c r="D87" s="327"/>
      <c r="E87" s="330"/>
      <c r="F87" s="333"/>
      <c r="G87" s="338"/>
      <c r="H87" s="47" t="s">
        <v>364</v>
      </c>
      <c r="I87" s="72">
        <v>0.5</v>
      </c>
      <c r="J87" s="73" t="e">
        <f>+IF($K$83&gt;0,+$K$83-SUM(J83:J86),"")</f>
        <v>#VALUE!</v>
      </c>
      <c r="K87" s="341"/>
      <c r="L87" s="43"/>
    </row>
    <row r="88" spans="1:12" ht="15.75" thickBot="1" x14ac:dyDescent="0.3">
      <c r="A88" s="147" t="str">
        <f>+'Anx I pg 1 oferta'!$B$18&amp;"T3_L01_inst_"&amp;B88&amp;"DA1"</f>
        <v>T3_L01_inst_L01-03DA1</v>
      </c>
      <c r="B88" s="319" t="s">
        <v>70</v>
      </c>
      <c r="C88" s="322" t="str">
        <f>+VLOOKUP(B88,'DATOS CENTROS'!B:E,2,FALSE)</f>
        <v>Avda. Aurora, 40, Bajo y 1º</v>
      </c>
      <c r="D88" s="325" t="str">
        <f>+VLOOKUP(B88,'DATOS CENTROS'!B:E,3,FALSE)</f>
        <v xml:space="preserve"> A + C</v>
      </c>
      <c r="E88" s="328" t="str">
        <f>+VLOOKUP(B88,'DATOS CENTROS'!B:E,4,FALSE)</f>
        <v>U.I. RTVE Málaga</v>
      </c>
      <c r="F88" s="331">
        <f>+VLOOKUP(B88,'DATOS CENTROS'!B:F,5,FALSE)</f>
        <v>5.0999999999999997E-2</v>
      </c>
      <c r="G88" s="336" t="str">
        <f>+IF(G33&gt;0,G33,"")</f>
        <v/>
      </c>
      <c r="H88" s="47" t="s">
        <v>25</v>
      </c>
      <c r="I88" s="72">
        <v>0.15</v>
      </c>
      <c r="J88" s="73" t="e">
        <f>+IF($K$88&gt;0,+ROUND($K$88*I88,0),"")</f>
        <v>#VALUE!</v>
      </c>
      <c r="K88" s="339" t="str">
        <f>+IFERROR(IF(OR($G$18=0,LEN($G$18)=0),"",IF(AND(M33="ok",(H33/H33)=1),N33,"")),"¿?")</f>
        <v/>
      </c>
      <c r="L88" s="43"/>
    </row>
    <row r="89" spans="1:12" ht="15.75" thickBot="1" x14ac:dyDescent="0.3">
      <c r="A89" s="147" t="str">
        <f>+'Anx I pg 1 oferta'!$B$18&amp;"T3_L01_inst_"&amp;B88&amp;"DA2"</f>
        <v>T3_L01_inst_L01-03DA2</v>
      </c>
      <c r="B89" s="320"/>
      <c r="C89" s="323"/>
      <c r="D89" s="326"/>
      <c r="E89" s="329"/>
      <c r="F89" s="332"/>
      <c r="G89" s="337"/>
      <c r="H89" s="47" t="s">
        <v>26</v>
      </c>
      <c r="I89" s="72">
        <v>0.1</v>
      </c>
      <c r="J89" s="73" t="e">
        <f t="shared" ref="J89:J91" si="2">+IF($K$88&gt;0,+ROUND($K$88*I89,0),"")</f>
        <v>#VALUE!</v>
      </c>
      <c r="K89" s="340"/>
      <c r="L89" s="43"/>
    </row>
    <row r="90" spans="1:12" ht="15.75" thickBot="1" x14ac:dyDescent="0.3">
      <c r="A90" s="147" t="str">
        <f>+'Anx I pg 1 oferta'!$B$18&amp;"T3_L01_inst_"&amp;B88&amp;"DA3"</f>
        <v>T3_L01_inst_L01-03DA3</v>
      </c>
      <c r="B90" s="320"/>
      <c r="C90" s="323"/>
      <c r="D90" s="326"/>
      <c r="E90" s="329"/>
      <c r="F90" s="332"/>
      <c r="G90" s="337"/>
      <c r="H90" s="47" t="s">
        <v>27</v>
      </c>
      <c r="I90" s="72">
        <v>0.2</v>
      </c>
      <c r="J90" s="73" t="e">
        <f t="shared" si="2"/>
        <v>#VALUE!</v>
      </c>
      <c r="K90" s="340"/>
      <c r="L90" s="43"/>
    </row>
    <row r="91" spans="1:12" ht="15.75" thickBot="1" x14ac:dyDescent="0.3">
      <c r="A91" s="147" t="str">
        <f>+'Anx I pg 1 oferta'!$B$18&amp;"T3_L01_inst_"&amp;B88&amp;"DA4"</f>
        <v>T3_L01_inst_L01-03DA4</v>
      </c>
      <c r="B91" s="320"/>
      <c r="C91" s="323"/>
      <c r="D91" s="326"/>
      <c r="E91" s="329"/>
      <c r="F91" s="332"/>
      <c r="G91" s="337"/>
      <c r="H91" s="47" t="s">
        <v>57</v>
      </c>
      <c r="I91" s="72">
        <v>0.05</v>
      </c>
      <c r="J91" s="73" t="e">
        <f t="shared" si="2"/>
        <v>#VALUE!</v>
      </c>
      <c r="K91" s="340"/>
      <c r="L91" s="43"/>
    </row>
    <row r="92" spans="1:12" ht="15.75" thickBot="1" x14ac:dyDescent="0.3">
      <c r="A92" s="147" t="str">
        <f>+'Anx I pg 1 oferta'!$B$18&amp;"T3_L01_inst_"&amp;B88&amp;"DA5"</f>
        <v>T3_L01_inst_L01-03DA5</v>
      </c>
      <c r="B92" s="321"/>
      <c r="C92" s="324"/>
      <c r="D92" s="327"/>
      <c r="E92" s="330"/>
      <c r="F92" s="333"/>
      <c r="G92" s="338"/>
      <c r="H92" s="47" t="s">
        <v>364</v>
      </c>
      <c r="I92" s="72">
        <v>0.5</v>
      </c>
      <c r="J92" s="73" t="e">
        <f>+IF($K$88&gt;0,+$K$88-SUM(J88:J91),"")</f>
        <v>#VALUE!</v>
      </c>
      <c r="K92" s="341"/>
      <c r="L92" s="43"/>
    </row>
    <row r="93" spans="1:12" ht="15.75" thickBot="1" x14ac:dyDescent="0.3">
      <c r="A93" s="147" t="str">
        <f>+'Anx I pg 1 oferta'!$B$18&amp;"T3_L01_inst_"&amp;B93&amp;"DA1"</f>
        <v>T3_L01_inst_L01-04DA1</v>
      </c>
      <c r="B93" s="319" t="s">
        <v>73</v>
      </c>
      <c r="C93" s="322" t="str">
        <f>+VLOOKUP(B93,'DATOS CENTROS'!B:E,2,FALSE)</f>
        <v>La Corchuela, Ctra SE-9024</v>
      </c>
      <c r="D93" s="325" t="str">
        <f>+VLOOKUP(B93,'DATOS CENTROS'!B:E,3,FALSE)</f>
        <v xml:space="preserve"> A + C</v>
      </c>
      <c r="E93" s="328" t="str">
        <f>+VLOOKUP(B93,'DATOS CENTROS'!B:E,4,FALSE)</f>
        <v>C.E. OM LA CORCHUELA</v>
      </c>
      <c r="F93" s="331">
        <f>+VLOOKUP(B93,'DATOS CENTROS'!B:F,5,FALSE)</f>
        <v>6.0999999999999999E-2</v>
      </c>
      <c r="G93" s="336" t="str">
        <f>+IF(G35&gt;0,G35,"")</f>
        <v/>
      </c>
      <c r="H93" s="47" t="s">
        <v>25</v>
      </c>
      <c r="I93" s="72">
        <v>0.15</v>
      </c>
      <c r="J93" s="73" t="e">
        <f>+IF($K$93&gt;0,+ROUND($K$93*I93,0),"")</f>
        <v>#VALUE!</v>
      </c>
      <c r="K93" s="339" t="str">
        <f>+IFERROR(IF(OR($G$18=0,LEN($G$18)=0),"",IF(AND(M35="ok",(H35/H35)=1),N35,"")),"¿?")</f>
        <v/>
      </c>
      <c r="L93" s="43"/>
    </row>
    <row r="94" spans="1:12" ht="15.75" thickBot="1" x14ac:dyDescent="0.3">
      <c r="A94" s="147" t="str">
        <f>+'Anx I pg 1 oferta'!$B$18&amp;"T3_L01_inst_"&amp;B93&amp;"DA2"</f>
        <v>T3_L01_inst_L01-04DA2</v>
      </c>
      <c r="B94" s="320"/>
      <c r="C94" s="323"/>
      <c r="D94" s="326"/>
      <c r="E94" s="329"/>
      <c r="F94" s="332"/>
      <c r="G94" s="337"/>
      <c r="H94" s="47" t="s">
        <v>26</v>
      </c>
      <c r="I94" s="72">
        <v>0.1</v>
      </c>
      <c r="J94" s="73" t="e">
        <f t="shared" ref="J94:J96" si="3">+IF($K$93&gt;0,+ROUND($K$93*I94,0),"")</f>
        <v>#VALUE!</v>
      </c>
      <c r="K94" s="340"/>
      <c r="L94" s="43"/>
    </row>
    <row r="95" spans="1:12" ht="15.75" thickBot="1" x14ac:dyDescent="0.3">
      <c r="A95" s="147" t="str">
        <f>+'Anx I pg 1 oferta'!$B$18&amp;"T3_L01_inst_"&amp;B93&amp;"DA3"</f>
        <v>T3_L01_inst_L01-04DA3</v>
      </c>
      <c r="B95" s="320"/>
      <c r="C95" s="323"/>
      <c r="D95" s="326"/>
      <c r="E95" s="329"/>
      <c r="F95" s="332"/>
      <c r="G95" s="337"/>
      <c r="H95" s="47" t="s">
        <v>27</v>
      </c>
      <c r="I95" s="72">
        <v>0.2</v>
      </c>
      <c r="J95" s="73" t="e">
        <f t="shared" si="3"/>
        <v>#VALUE!</v>
      </c>
      <c r="K95" s="340"/>
      <c r="L95" s="43"/>
    </row>
    <row r="96" spans="1:12" ht="15.75" thickBot="1" x14ac:dyDescent="0.3">
      <c r="A96" s="147" t="str">
        <f>+'Anx I pg 1 oferta'!$B$18&amp;"T3_L01_inst_"&amp;B93&amp;"DA4"</f>
        <v>T3_L01_inst_L01-04DA4</v>
      </c>
      <c r="B96" s="320"/>
      <c r="C96" s="323"/>
      <c r="D96" s="326"/>
      <c r="E96" s="329"/>
      <c r="F96" s="332"/>
      <c r="G96" s="337"/>
      <c r="H96" s="47" t="s">
        <v>57</v>
      </c>
      <c r="I96" s="72">
        <v>0.05</v>
      </c>
      <c r="J96" s="73" t="e">
        <f t="shared" si="3"/>
        <v>#VALUE!</v>
      </c>
      <c r="K96" s="340"/>
      <c r="L96" s="43"/>
    </row>
    <row r="97" spans="1:12" ht="15.75" thickBot="1" x14ac:dyDescent="0.3">
      <c r="A97" s="147" t="str">
        <f>+'Anx I pg 1 oferta'!$B$18&amp;"T3_L01_inst_"&amp;B93&amp;"DA5"</f>
        <v>T3_L01_inst_L01-04DA5</v>
      </c>
      <c r="B97" s="321"/>
      <c r="C97" s="324"/>
      <c r="D97" s="327"/>
      <c r="E97" s="330"/>
      <c r="F97" s="333"/>
      <c r="G97" s="338"/>
      <c r="H97" s="47" t="s">
        <v>364</v>
      </c>
      <c r="I97" s="72">
        <v>0.5</v>
      </c>
      <c r="J97" s="73" t="e">
        <f>+IF($K$93&gt;0,+$K$93-SUM(J93:J96),"")</f>
        <v>#VALUE!</v>
      </c>
      <c r="K97" s="341"/>
      <c r="L97" s="43"/>
    </row>
    <row r="98" spans="1:12" ht="15.75" thickBot="1" x14ac:dyDescent="0.3">
      <c r="A98" s="147" t="str">
        <f>+'Anx I pg 1 oferta'!$B$18&amp;"T3_L01_inst_"&amp;B98&amp;"DA1"</f>
        <v>T3_L01_inst_L01-05DA1</v>
      </c>
      <c r="B98" s="319" t="s">
        <v>76</v>
      </c>
      <c r="C98" s="322" t="str">
        <f>+VLOOKUP(B98,'DATOS CENTROS'!B:E,2,FALSE)</f>
        <v>Los Palacios. Crta. N-IV, Sevilla-Cádiz, Km. 563</v>
      </c>
      <c r="D98" s="325" t="str">
        <f>+VLOOKUP(B98,'DATOS CENTROS'!B:E,3,FALSE)</f>
        <v xml:space="preserve"> A + C</v>
      </c>
      <c r="E98" s="328" t="str">
        <f>+VLOOKUP(B98,'DATOS CENTROS'!B:E,4,FALSE)</f>
        <v>C.E. OM LOS PALACIOS / DOS HERMANAS</v>
      </c>
      <c r="F98" s="331">
        <f>+VLOOKUP(B98,'DATOS CENTROS'!B:F,5,FALSE)</f>
        <v>0.13200000000000001</v>
      </c>
      <c r="G98" s="336" t="str">
        <f>+IF(G37&gt;0,G37,"")</f>
        <v/>
      </c>
      <c r="H98" s="47" t="s">
        <v>25</v>
      </c>
      <c r="I98" s="72">
        <v>0.15</v>
      </c>
      <c r="J98" s="73" t="e">
        <f>+IF($K$98&gt;0,+ROUND($K$98*I98,0),"")</f>
        <v>#VALUE!</v>
      </c>
      <c r="K98" s="339" t="str">
        <f>+IFERROR(IF(OR($G$18=0,LEN($G$18)=0),"",IF(AND(M37="ok",(H37/H37)=1),N37,"")),"¿?")</f>
        <v/>
      </c>
      <c r="L98" s="43"/>
    </row>
    <row r="99" spans="1:12" ht="15.75" thickBot="1" x14ac:dyDescent="0.3">
      <c r="A99" s="147" t="str">
        <f>+'Anx I pg 1 oferta'!$B$18&amp;"T3_L01_inst_"&amp;B98&amp;"DA2"</f>
        <v>T3_L01_inst_L01-05DA2</v>
      </c>
      <c r="B99" s="320"/>
      <c r="C99" s="323"/>
      <c r="D99" s="326"/>
      <c r="E99" s="329"/>
      <c r="F99" s="332"/>
      <c r="G99" s="337"/>
      <c r="H99" s="47" t="s">
        <v>26</v>
      </c>
      <c r="I99" s="72">
        <v>0.1</v>
      </c>
      <c r="J99" s="73" t="e">
        <f t="shared" ref="J99:J101" si="4">+IF($K$98&gt;0,+ROUND($K$98*I99,0),"")</f>
        <v>#VALUE!</v>
      </c>
      <c r="K99" s="340"/>
      <c r="L99" s="43"/>
    </row>
    <row r="100" spans="1:12" ht="15.75" thickBot="1" x14ac:dyDescent="0.3">
      <c r="A100" s="147" t="str">
        <f>+'Anx I pg 1 oferta'!$B$18&amp;"T3_L01_inst_"&amp;B98&amp;"DA3"</f>
        <v>T3_L01_inst_L01-05DA3</v>
      </c>
      <c r="B100" s="320"/>
      <c r="C100" s="323"/>
      <c r="D100" s="326"/>
      <c r="E100" s="329"/>
      <c r="F100" s="332"/>
      <c r="G100" s="337"/>
      <c r="H100" s="47" t="s">
        <v>27</v>
      </c>
      <c r="I100" s="72">
        <v>0.2</v>
      </c>
      <c r="J100" s="73" t="e">
        <f t="shared" si="4"/>
        <v>#VALUE!</v>
      </c>
      <c r="K100" s="340"/>
      <c r="L100" s="43"/>
    </row>
    <row r="101" spans="1:12" ht="15.75" thickBot="1" x14ac:dyDescent="0.3">
      <c r="A101" s="147" t="str">
        <f>+'Anx I pg 1 oferta'!$B$18&amp;"T3_L01_inst_"&amp;B98&amp;"DA4"</f>
        <v>T3_L01_inst_L01-05DA4</v>
      </c>
      <c r="B101" s="320"/>
      <c r="C101" s="323"/>
      <c r="D101" s="326"/>
      <c r="E101" s="329"/>
      <c r="F101" s="332"/>
      <c r="G101" s="337"/>
      <c r="H101" s="47" t="s">
        <v>57</v>
      </c>
      <c r="I101" s="72">
        <v>0.05</v>
      </c>
      <c r="J101" s="73" t="e">
        <f t="shared" si="4"/>
        <v>#VALUE!</v>
      </c>
      <c r="K101" s="340"/>
      <c r="L101" s="43"/>
    </row>
    <row r="102" spans="1:12" ht="15.75" thickBot="1" x14ac:dyDescent="0.3">
      <c r="A102" s="147" t="str">
        <f>+'Anx I pg 1 oferta'!$B$18&amp;"T3_L01_inst_"&amp;B98&amp;"DA5"</f>
        <v>T3_L01_inst_L01-05DA5</v>
      </c>
      <c r="B102" s="321"/>
      <c r="C102" s="324"/>
      <c r="D102" s="327"/>
      <c r="E102" s="330"/>
      <c r="F102" s="333"/>
      <c r="G102" s="338"/>
      <c r="H102" s="47" t="s">
        <v>364</v>
      </c>
      <c r="I102" s="72">
        <v>0.5</v>
      </c>
      <c r="J102" s="73" t="e">
        <f>+IF($K$98&gt;0,+$K$98-SUM(J98:J101),"")</f>
        <v>#VALUE!</v>
      </c>
      <c r="K102" s="341"/>
      <c r="L102" s="43"/>
    </row>
    <row r="103" spans="1:12" ht="15.75" thickBot="1" x14ac:dyDescent="0.3">
      <c r="A103" s="147" t="str">
        <f>+'Anx I pg 1 oferta'!$B$18&amp;"T3_L01_inst_"&amp;B103&amp;"DA1"</f>
        <v>T3_L01_inst_L01-06DA1</v>
      </c>
      <c r="B103" s="319" t="s">
        <v>79</v>
      </c>
      <c r="C103" s="322" t="str">
        <f>+VLOOKUP(B103,'DATOS CENTROS'!B:E,2,FALSE)</f>
        <v>Isla de la Cartuja</v>
      </c>
      <c r="D103" s="325" t="str">
        <f>+VLOOKUP(B103,'DATOS CENTROS'!B:E,3,FALSE)</f>
        <v xml:space="preserve"> A + C</v>
      </c>
      <c r="E103" s="328" t="str">
        <f>+VLOOKUP(B103,'DATOS CENTROS'!B:E,4,FALSE)</f>
        <v>C.T. RTVE Andalucía (Sevilla)</v>
      </c>
      <c r="F103" s="331">
        <f>+VLOOKUP(B103,'DATOS CENTROS'!B:F,5,FALSE)</f>
        <v>0.17</v>
      </c>
      <c r="G103" s="336" t="str">
        <f>+IF(G39&gt;0,G39,"")</f>
        <v/>
      </c>
      <c r="H103" s="47" t="s">
        <v>25</v>
      </c>
      <c r="I103" s="72">
        <v>0.15</v>
      </c>
      <c r="J103" s="73" t="e">
        <f>+IF($K$103&gt;0,+ROUND($K$103*I103,0),"")</f>
        <v>#VALUE!</v>
      </c>
      <c r="K103" s="339" t="str">
        <f>+IFERROR(IF(OR($G$18=0,LEN($G$18)=0),"",IF(AND(M39="ok",(H39/H39)=1),N39,"")),"¿?")</f>
        <v/>
      </c>
      <c r="L103" s="43"/>
    </row>
    <row r="104" spans="1:12" ht="15.75" thickBot="1" x14ac:dyDescent="0.3">
      <c r="A104" s="147" t="str">
        <f>+'Anx I pg 1 oferta'!$B$18&amp;"T3_L01_inst_"&amp;B103&amp;"DA2"</f>
        <v>T3_L01_inst_L01-06DA2</v>
      </c>
      <c r="B104" s="320"/>
      <c r="C104" s="323"/>
      <c r="D104" s="326"/>
      <c r="E104" s="329"/>
      <c r="F104" s="332"/>
      <c r="G104" s="337"/>
      <c r="H104" s="47" t="s">
        <v>26</v>
      </c>
      <c r="I104" s="72">
        <v>0.1</v>
      </c>
      <c r="J104" s="73" t="e">
        <f t="shared" ref="J104:J106" si="5">+IF($K$103&gt;0,+ROUND($K$103*I104,0),"")</f>
        <v>#VALUE!</v>
      </c>
      <c r="K104" s="340"/>
      <c r="L104" s="43"/>
    </row>
    <row r="105" spans="1:12" ht="15.75" thickBot="1" x14ac:dyDescent="0.3">
      <c r="A105" s="147" t="str">
        <f>+'Anx I pg 1 oferta'!$B$18&amp;"T3_L01_inst_"&amp;B103&amp;"DA3"</f>
        <v>T3_L01_inst_L01-06DA3</v>
      </c>
      <c r="B105" s="320"/>
      <c r="C105" s="323"/>
      <c r="D105" s="326"/>
      <c r="E105" s="329"/>
      <c r="F105" s="332"/>
      <c r="G105" s="337"/>
      <c r="H105" s="47" t="s">
        <v>27</v>
      </c>
      <c r="I105" s="72">
        <v>0.2</v>
      </c>
      <c r="J105" s="73" t="e">
        <f t="shared" si="5"/>
        <v>#VALUE!</v>
      </c>
      <c r="K105" s="340"/>
      <c r="L105" s="43"/>
    </row>
    <row r="106" spans="1:12" ht="15.75" thickBot="1" x14ac:dyDescent="0.3">
      <c r="A106" s="147" t="str">
        <f>+'Anx I pg 1 oferta'!$B$18&amp;"T3_L01_inst_"&amp;B103&amp;"DA4"</f>
        <v>T3_L01_inst_L01-06DA4</v>
      </c>
      <c r="B106" s="320"/>
      <c r="C106" s="323"/>
      <c r="D106" s="326"/>
      <c r="E106" s="329"/>
      <c r="F106" s="332"/>
      <c r="G106" s="337"/>
      <c r="H106" s="47" t="s">
        <v>57</v>
      </c>
      <c r="I106" s="72">
        <v>0.05</v>
      </c>
      <c r="J106" s="73" t="e">
        <f t="shared" si="5"/>
        <v>#VALUE!</v>
      </c>
      <c r="K106" s="340"/>
      <c r="L106" s="43"/>
    </row>
    <row r="107" spans="1:12" ht="15.75" thickBot="1" x14ac:dyDescent="0.3">
      <c r="A107" s="147" t="str">
        <f>+'Anx I pg 1 oferta'!$B$18&amp;"T3_L01_inst_"&amp;B103&amp;"DA5"</f>
        <v>T3_L01_inst_L01-06DA5</v>
      </c>
      <c r="B107" s="321"/>
      <c r="C107" s="324"/>
      <c r="D107" s="327"/>
      <c r="E107" s="330"/>
      <c r="F107" s="333"/>
      <c r="G107" s="338"/>
      <c r="H107" s="47" t="s">
        <v>364</v>
      </c>
      <c r="I107" s="72">
        <v>0.5</v>
      </c>
      <c r="J107" s="73" t="e">
        <f>+IF($K$103&gt;0,+$K$103-SUM(J103:J106),"")</f>
        <v>#VALUE!</v>
      </c>
      <c r="K107" s="341"/>
      <c r="L107" s="43"/>
    </row>
    <row r="108" spans="1:12" ht="15.75" customHeight="1" thickBot="1" x14ac:dyDescent="0.3">
      <c r="A108" s="147" t="str">
        <f>+'Anx I pg 1 oferta'!$B$18&amp;"T3_L01_inst_"&amp;B108&amp;"DA1"</f>
        <v>T3_L01_inst_L01-07DA1</v>
      </c>
      <c r="B108" s="319" t="s">
        <v>82</v>
      </c>
      <c r="C108" s="322" t="str">
        <f>+VLOOKUP(B108,'DATOS CENTROS'!B:E,2,FALSE)</f>
        <v>Avenida  Andalucía 67 Bajo  11007</v>
      </c>
      <c r="D108" s="325" t="str">
        <f>+VLOOKUP(B108,'DATOS CENTROS'!B:E,3,FALSE)</f>
        <v>C</v>
      </c>
      <c r="E108" s="328" t="str">
        <f>+VLOOKUP(B108,'DATOS CENTROS'!B:E,4,FALSE)</f>
        <v>U.I. RTVE Cádiz</v>
      </c>
      <c r="F108" s="331">
        <f>+VLOOKUP(B108,'DATOS CENTROS'!B:F,5,FALSE)</f>
        <v>0.02</v>
      </c>
      <c r="G108" s="336" t="str">
        <f>+IF(G41&gt;0,G41,"")</f>
        <v/>
      </c>
      <c r="H108" s="47" t="s">
        <v>25</v>
      </c>
      <c r="I108" s="72">
        <v>0.15</v>
      </c>
      <c r="J108" s="73" t="e">
        <f>+IF($K$108&gt;0,+ROUND($K$108*I108,0),"")</f>
        <v>#VALUE!</v>
      </c>
      <c r="K108" s="339" t="str">
        <f>+IFERROR(IF(OR($G$18=0,LEN($G$18)=0),"",IF(AND(M41="ok",(H41/H41)=1),N41,"")),"¿?")</f>
        <v/>
      </c>
      <c r="L108" s="43"/>
    </row>
    <row r="109" spans="1:12" ht="15.75" thickBot="1" x14ac:dyDescent="0.3">
      <c r="A109" s="147" t="str">
        <f>+'Anx I pg 1 oferta'!$B$18&amp;"T3_L01_inst_"&amp;B108&amp;"DA2"</f>
        <v>T3_L01_inst_L01-07DA2</v>
      </c>
      <c r="B109" s="320"/>
      <c r="C109" s="323"/>
      <c r="D109" s="326"/>
      <c r="E109" s="329"/>
      <c r="F109" s="332"/>
      <c r="G109" s="337"/>
      <c r="H109" s="47" t="s">
        <v>26</v>
      </c>
      <c r="I109" s="72">
        <v>0.1</v>
      </c>
      <c r="J109" s="73" t="e">
        <f t="shared" ref="J109:J111" si="6">+IF($K$108&gt;0,+ROUND($K$108*I109,0),"")</f>
        <v>#VALUE!</v>
      </c>
      <c r="K109" s="340"/>
      <c r="L109" s="43"/>
    </row>
    <row r="110" spans="1:12" ht="15.75" thickBot="1" x14ac:dyDescent="0.3">
      <c r="A110" s="147" t="str">
        <f>+'Anx I pg 1 oferta'!$B$18&amp;"T3_L01_inst_"&amp;B108&amp;"DA3"</f>
        <v>T3_L01_inst_L01-07DA3</v>
      </c>
      <c r="B110" s="320"/>
      <c r="C110" s="323"/>
      <c r="D110" s="326"/>
      <c r="E110" s="329"/>
      <c r="F110" s="332"/>
      <c r="G110" s="337"/>
      <c r="H110" s="47" t="s">
        <v>27</v>
      </c>
      <c r="I110" s="72">
        <v>0.2</v>
      </c>
      <c r="J110" s="73" t="e">
        <f t="shared" si="6"/>
        <v>#VALUE!</v>
      </c>
      <c r="K110" s="340"/>
      <c r="L110" s="43"/>
    </row>
    <row r="111" spans="1:12" ht="15.75" thickBot="1" x14ac:dyDescent="0.3">
      <c r="A111" s="147" t="str">
        <f>+'Anx I pg 1 oferta'!$B$18&amp;"T3_L01_inst_"&amp;B108&amp;"DA4"</f>
        <v>T3_L01_inst_L01-07DA4</v>
      </c>
      <c r="B111" s="320"/>
      <c r="C111" s="323"/>
      <c r="D111" s="326"/>
      <c r="E111" s="329"/>
      <c r="F111" s="332"/>
      <c r="G111" s="337"/>
      <c r="H111" s="47" t="s">
        <v>57</v>
      </c>
      <c r="I111" s="72">
        <v>0.05</v>
      </c>
      <c r="J111" s="73" t="e">
        <f t="shared" si="6"/>
        <v>#VALUE!</v>
      </c>
      <c r="K111" s="340"/>
      <c r="L111" s="43"/>
    </row>
    <row r="112" spans="1:12" ht="15.75" thickBot="1" x14ac:dyDescent="0.3">
      <c r="A112" s="147" t="str">
        <f>+'Anx I pg 1 oferta'!$B$18&amp;"T3_L01_inst_"&amp;B108&amp;"DA5"</f>
        <v>T3_L01_inst_L01-07DA5</v>
      </c>
      <c r="B112" s="321"/>
      <c r="C112" s="324"/>
      <c r="D112" s="327"/>
      <c r="E112" s="330"/>
      <c r="F112" s="333"/>
      <c r="G112" s="338"/>
      <c r="H112" s="47" t="s">
        <v>364</v>
      </c>
      <c r="I112" s="72">
        <v>0.5</v>
      </c>
      <c r="J112" s="73" t="e">
        <f>+IF($K$108&gt;0,+$K$108-SUM(J108:J111),"")</f>
        <v>#VALUE!</v>
      </c>
      <c r="K112" s="341"/>
      <c r="L112" s="43"/>
    </row>
    <row r="113" spans="1:12" ht="15.75" thickBot="1" x14ac:dyDescent="0.3">
      <c r="A113" s="147" t="str">
        <f>+'Anx I pg 1 oferta'!$B$18&amp;"T3_L01_inst_"&amp;B113&amp;"DA1"</f>
        <v>T3_L01_inst_L01-08DA1</v>
      </c>
      <c r="B113" s="319" t="s">
        <v>86</v>
      </c>
      <c r="C113" s="322" t="str">
        <f>+VLOOKUP(B113,'DATOS CENTROS'!B:E,2,FALSE)</f>
        <v>Calle  SOS Rey Católico 8 (fachada a C/ Quevedo), Pt.baja  18006</v>
      </c>
      <c r="D113" s="325" t="str">
        <f>+VLOOKUP(B113,'DATOS CENTROS'!B:E,3,FALSE)</f>
        <v>C</v>
      </c>
      <c r="E113" s="328" t="str">
        <f>+VLOOKUP(B113,'DATOS CENTROS'!B:E,4,FALSE)</f>
        <v>S.U. Granada (Sos Rey Católico)</v>
      </c>
      <c r="F113" s="331">
        <f>+VLOOKUP(B113,'DATOS CENTROS'!B:F,5,FALSE)</f>
        <v>1.2E-2</v>
      </c>
      <c r="G113" s="336" t="str">
        <f>+IF(G43&gt;0,G43,"")</f>
        <v/>
      </c>
      <c r="H113" s="47" t="s">
        <v>25</v>
      </c>
      <c r="I113" s="72">
        <v>0.15</v>
      </c>
      <c r="J113" s="73" t="e">
        <f>+IF($K$113&gt;0,+ROUND($K$113*I113,0),"")</f>
        <v>#VALUE!</v>
      </c>
      <c r="K113" s="339" t="str">
        <f>+IFERROR(IF(OR($G$18=0,LEN($G$18)=0),"",IF(AND(M43="ok",(H43/H43)=1),N43,"")),"¿?")</f>
        <v/>
      </c>
      <c r="L113" s="43"/>
    </row>
    <row r="114" spans="1:12" ht="15.75" thickBot="1" x14ac:dyDescent="0.3">
      <c r="A114" s="147" t="str">
        <f>+'Anx I pg 1 oferta'!$B$18&amp;"T3_L01_inst_"&amp;B113&amp;"DA2"</f>
        <v>T3_L01_inst_L01-08DA2</v>
      </c>
      <c r="B114" s="320"/>
      <c r="C114" s="323"/>
      <c r="D114" s="326"/>
      <c r="E114" s="329"/>
      <c r="F114" s="332"/>
      <c r="G114" s="337"/>
      <c r="H114" s="47" t="s">
        <v>26</v>
      </c>
      <c r="I114" s="72">
        <v>0.1</v>
      </c>
      <c r="J114" s="73" t="e">
        <f t="shared" ref="J114:J116" si="7">+IF($K$113&gt;0,+ROUND($K$113*I114,0),"")</f>
        <v>#VALUE!</v>
      </c>
      <c r="K114" s="340"/>
      <c r="L114" s="43"/>
    </row>
    <row r="115" spans="1:12" ht="15.75" thickBot="1" x14ac:dyDescent="0.3">
      <c r="A115" s="147" t="str">
        <f>+'Anx I pg 1 oferta'!$B$18&amp;"T3_L01_inst_"&amp;B113&amp;"DA3"</f>
        <v>T3_L01_inst_L01-08DA3</v>
      </c>
      <c r="B115" s="320"/>
      <c r="C115" s="323"/>
      <c r="D115" s="326"/>
      <c r="E115" s="329"/>
      <c r="F115" s="332"/>
      <c r="G115" s="337"/>
      <c r="H115" s="47" t="s">
        <v>27</v>
      </c>
      <c r="I115" s="72">
        <v>0.2</v>
      </c>
      <c r="J115" s="73" t="e">
        <f t="shared" si="7"/>
        <v>#VALUE!</v>
      </c>
      <c r="K115" s="340"/>
      <c r="L115" s="43"/>
    </row>
    <row r="116" spans="1:12" ht="15.75" thickBot="1" x14ac:dyDescent="0.3">
      <c r="A116" s="147" t="str">
        <f>+'Anx I pg 1 oferta'!$B$18&amp;"T3_L01_inst_"&amp;B113&amp;"DA4"</f>
        <v>T3_L01_inst_L01-08DA4</v>
      </c>
      <c r="B116" s="320"/>
      <c r="C116" s="323"/>
      <c r="D116" s="326"/>
      <c r="E116" s="329"/>
      <c r="F116" s="332"/>
      <c r="G116" s="337"/>
      <c r="H116" s="47" t="s">
        <v>57</v>
      </c>
      <c r="I116" s="72">
        <v>0.05</v>
      </c>
      <c r="J116" s="73" t="e">
        <f t="shared" si="7"/>
        <v>#VALUE!</v>
      </c>
      <c r="K116" s="340"/>
      <c r="L116" s="43"/>
    </row>
    <row r="117" spans="1:12" ht="15.75" thickBot="1" x14ac:dyDescent="0.3">
      <c r="A117" s="147" t="str">
        <f>+'Anx I pg 1 oferta'!$B$18&amp;"T3_L01_inst_"&amp;B113&amp;"DA5"</f>
        <v>T3_L01_inst_L01-08DA5</v>
      </c>
      <c r="B117" s="321"/>
      <c r="C117" s="324"/>
      <c r="D117" s="327"/>
      <c r="E117" s="330"/>
      <c r="F117" s="333"/>
      <c r="G117" s="338"/>
      <c r="H117" s="47" t="s">
        <v>364</v>
      </c>
      <c r="I117" s="72">
        <v>0.5</v>
      </c>
      <c r="J117" s="73" t="e">
        <f>+IF($K$113&gt;0,+$K$113-SUM(J113:J116),"")</f>
        <v>#VALUE!</v>
      </c>
      <c r="K117" s="341"/>
      <c r="L117" s="43"/>
    </row>
    <row r="118" spans="1:12" ht="15.75" thickBot="1" x14ac:dyDescent="0.3">
      <c r="A118" s="147" t="str">
        <f>+'Anx I pg 1 oferta'!$B$18&amp;"T3_L01_inst_"&amp;B118&amp;"DA1"</f>
        <v>T3_L01_inst_L01-09DA1</v>
      </c>
      <c r="B118" s="319" t="s">
        <v>89</v>
      </c>
      <c r="C118" s="322" t="str">
        <f>+VLOOKUP(B118,'DATOS CENTROS'!B:E,2,FALSE)</f>
        <v>Plaza Carretas 5 Bajo  18009</v>
      </c>
      <c r="D118" s="325" t="str">
        <f>+VLOOKUP(B118,'DATOS CENTROS'!B:E,3,FALSE)</f>
        <v>C</v>
      </c>
      <c r="E118" s="328" t="str">
        <f>+VLOOKUP(B118,'DATOS CENTROS'!B:E,4,FALSE)</f>
        <v>U.I. RTVE Granada</v>
      </c>
      <c r="F118" s="331">
        <f>+VLOOKUP(B118,'DATOS CENTROS'!B:F,5,FALSE)</f>
        <v>1.7000000000000001E-2</v>
      </c>
      <c r="G118" s="336" t="str">
        <f>+IF(G45&gt;0,G45,"")</f>
        <v/>
      </c>
      <c r="H118" s="47" t="s">
        <v>25</v>
      </c>
      <c r="I118" s="72">
        <v>0.15</v>
      </c>
      <c r="J118" s="73" t="e">
        <f>+IF($K$118&gt;0,+ROUND($K$118*I118,0),"")</f>
        <v>#VALUE!</v>
      </c>
      <c r="K118" s="339" t="str">
        <f>+IFERROR(IF(OR($G$18=0,LEN($G$18)=0),"",IF(AND(M45="ok",(H45/H45)=1),N45,"")),"¿?")</f>
        <v/>
      </c>
      <c r="L118" s="43"/>
    </row>
    <row r="119" spans="1:12" ht="15.75" thickBot="1" x14ac:dyDescent="0.3">
      <c r="A119" s="147" t="str">
        <f>+'Anx I pg 1 oferta'!$B$18&amp;"T3_L01_inst_"&amp;B118&amp;"DA2"</f>
        <v>T3_L01_inst_L01-09DA2</v>
      </c>
      <c r="B119" s="320"/>
      <c r="C119" s="323"/>
      <c r="D119" s="326"/>
      <c r="E119" s="329"/>
      <c r="F119" s="332"/>
      <c r="G119" s="337"/>
      <c r="H119" s="47" t="s">
        <v>26</v>
      </c>
      <c r="I119" s="72">
        <v>0.1</v>
      </c>
      <c r="J119" s="73" t="e">
        <f t="shared" ref="J119:J121" si="8">+IF($K$118&gt;0,+ROUND($K$118*I119,0),"")</f>
        <v>#VALUE!</v>
      </c>
      <c r="K119" s="340"/>
      <c r="L119" s="43"/>
    </row>
    <row r="120" spans="1:12" ht="15.75" thickBot="1" x14ac:dyDescent="0.3">
      <c r="A120" s="147" t="str">
        <f>+'Anx I pg 1 oferta'!$B$18&amp;"T3_L01_inst_"&amp;B118&amp;"DA3"</f>
        <v>T3_L01_inst_L01-09DA3</v>
      </c>
      <c r="B120" s="320"/>
      <c r="C120" s="323"/>
      <c r="D120" s="326"/>
      <c r="E120" s="329"/>
      <c r="F120" s="332"/>
      <c r="G120" s="337"/>
      <c r="H120" s="47" t="s">
        <v>27</v>
      </c>
      <c r="I120" s="72">
        <v>0.2</v>
      </c>
      <c r="J120" s="73" t="e">
        <f t="shared" si="8"/>
        <v>#VALUE!</v>
      </c>
      <c r="K120" s="340"/>
      <c r="L120" s="43"/>
    </row>
    <row r="121" spans="1:12" ht="15.75" thickBot="1" x14ac:dyDescent="0.3">
      <c r="A121" s="147" t="str">
        <f>+'Anx I pg 1 oferta'!$B$18&amp;"T3_L01_inst_"&amp;B118&amp;"DA4"</f>
        <v>T3_L01_inst_L01-09DA4</v>
      </c>
      <c r="B121" s="320"/>
      <c r="C121" s="323"/>
      <c r="D121" s="326"/>
      <c r="E121" s="329"/>
      <c r="F121" s="332"/>
      <c r="G121" s="337"/>
      <c r="H121" s="47" t="s">
        <v>57</v>
      </c>
      <c r="I121" s="72">
        <v>0.05</v>
      </c>
      <c r="J121" s="73" t="e">
        <f t="shared" si="8"/>
        <v>#VALUE!</v>
      </c>
      <c r="K121" s="340"/>
      <c r="L121" s="43"/>
    </row>
    <row r="122" spans="1:12" ht="15.75" thickBot="1" x14ac:dyDescent="0.3">
      <c r="A122" s="147" t="str">
        <f>+'Anx I pg 1 oferta'!$B$18&amp;"T3_L01_inst_"&amp;B118&amp;"DA5"</f>
        <v>T3_L01_inst_L01-09DA5</v>
      </c>
      <c r="B122" s="321"/>
      <c r="C122" s="324"/>
      <c r="D122" s="327"/>
      <c r="E122" s="330"/>
      <c r="F122" s="333"/>
      <c r="G122" s="338"/>
      <c r="H122" s="47" t="s">
        <v>364</v>
      </c>
      <c r="I122" s="72">
        <v>0.5</v>
      </c>
      <c r="J122" s="73" t="e">
        <f>+IF($K$118&gt;0,+$K$118-SUM(J118:J121),"")</f>
        <v>#VALUE!</v>
      </c>
      <c r="K122" s="341"/>
      <c r="L122" s="43"/>
    </row>
    <row r="123" spans="1:12" ht="15.75" thickBot="1" x14ac:dyDescent="0.3">
      <c r="A123" s="147" t="str">
        <f>+'Anx I pg 1 oferta'!$B$18&amp;"T3_L01_inst_"&amp;B123&amp;"DA1"</f>
        <v>T3_L01_inst_L01-10DA1</v>
      </c>
      <c r="B123" s="319" t="s">
        <v>92</v>
      </c>
      <c r="C123" s="322" t="str">
        <f>+VLOOKUP(B123,'DATOS CENTROS'!B:E,2,FALSE)</f>
        <v>Calle  La Fuente 4 Planta Baja  21004</v>
      </c>
      <c r="D123" s="325" t="str">
        <f>+VLOOKUP(B123,'DATOS CENTROS'!B:E,3,FALSE)</f>
        <v>C</v>
      </c>
      <c r="E123" s="328" t="str">
        <f>+VLOOKUP(B123,'DATOS CENTROS'!B:E,4,FALSE)</f>
        <v>U.I. RTVE Huelva</v>
      </c>
      <c r="F123" s="331">
        <f>+VLOOKUP(B123,'DATOS CENTROS'!B:F,5,FALSE)</f>
        <v>1.7000000000000001E-2</v>
      </c>
      <c r="G123" s="336" t="str">
        <f>+IF(G47&gt;0,G47,"")</f>
        <v/>
      </c>
      <c r="H123" s="47" t="s">
        <v>25</v>
      </c>
      <c r="I123" s="72">
        <v>0.15</v>
      </c>
      <c r="J123" s="73" t="e">
        <f>+IF($K$123&gt;0,+ROUND($K$123*I123,0),"")</f>
        <v>#VALUE!</v>
      </c>
      <c r="K123" s="339" t="str">
        <f>+IFERROR(IF(OR($G$18=0,LEN($G$18)=0),"",IF(AND(M47="ok",(H47/H47)=1),N47,"")),"¿?")</f>
        <v/>
      </c>
      <c r="L123" s="43"/>
    </row>
    <row r="124" spans="1:12" ht="15.75" thickBot="1" x14ac:dyDescent="0.3">
      <c r="A124" s="147" t="str">
        <f>+'Anx I pg 1 oferta'!$B$18&amp;"T3_L01_inst_"&amp;B123&amp;"DA2"</f>
        <v>T3_L01_inst_L01-10DA2</v>
      </c>
      <c r="B124" s="320"/>
      <c r="C124" s="323"/>
      <c r="D124" s="326"/>
      <c r="E124" s="329"/>
      <c r="F124" s="332"/>
      <c r="G124" s="337"/>
      <c r="H124" s="47" t="s">
        <v>26</v>
      </c>
      <c r="I124" s="72">
        <v>0.1</v>
      </c>
      <c r="J124" s="73" t="e">
        <f t="shared" ref="J124:J126" si="9">+IF($K$123&gt;0,+ROUND($K$123*I124,0),"")</f>
        <v>#VALUE!</v>
      </c>
      <c r="K124" s="340"/>
      <c r="L124" s="43"/>
    </row>
    <row r="125" spans="1:12" ht="15.75" thickBot="1" x14ac:dyDescent="0.3">
      <c r="A125" s="147" t="str">
        <f>+'Anx I pg 1 oferta'!$B$18&amp;"T3_L01_inst_"&amp;B123&amp;"DA3"</f>
        <v>T3_L01_inst_L01-10DA3</v>
      </c>
      <c r="B125" s="320"/>
      <c r="C125" s="323"/>
      <c r="D125" s="326"/>
      <c r="E125" s="329"/>
      <c r="F125" s="332"/>
      <c r="G125" s="337"/>
      <c r="H125" s="47" t="s">
        <v>27</v>
      </c>
      <c r="I125" s="72">
        <v>0.2</v>
      </c>
      <c r="J125" s="73" t="e">
        <f t="shared" si="9"/>
        <v>#VALUE!</v>
      </c>
      <c r="K125" s="340"/>
      <c r="L125" s="43"/>
    </row>
    <row r="126" spans="1:12" ht="15.75" thickBot="1" x14ac:dyDescent="0.3">
      <c r="A126" s="147" t="str">
        <f>+'Anx I pg 1 oferta'!$B$18&amp;"T3_L01_inst_"&amp;B123&amp;"DA4"</f>
        <v>T3_L01_inst_L01-10DA4</v>
      </c>
      <c r="B126" s="320"/>
      <c r="C126" s="323"/>
      <c r="D126" s="326"/>
      <c r="E126" s="329"/>
      <c r="F126" s="332"/>
      <c r="G126" s="337"/>
      <c r="H126" s="47" t="s">
        <v>57</v>
      </c>
      <c r="I126" s="72">
        <v>0.05</v>
      </c>
      <c r="J126" s="73" t="e">
        <f t="shared" si="9"/>
        <v>#VALUE!</v>
      </c>
      <c r="K126" s="340"/>
      <c r="L126" s="43"/>
    </row>
    <row r="127" spans="1:12" ht="15.75" thickBot="1" x14ac:dyDescent="0.3">
      <c r="A127" s="147" t="str">
        <f>+'Anx I pg 1 oferta'!$B$18&amp;"T3_L01_inst_"&amp;B123&amp;"DA5"</f>
        <v>T3_L01_inst_L01-10DA5</v>
      </c>
      <c r="B127" s="321"/>
      <c r="C127" s="324"/>
      <c r="D127" s="327"/>
      <c r="E127" s="330"/>
      <c r="F127" s="333"/>
      <c r="G127" s="338"/>
      <c r="H127" s="47" t="s">
        <v>364</v>
      </c>
      <c r="I127" s="72">
        <v>0.5</v>
      </c>
      <c r="J127" s="73" t="e">
        <f>+IF($K$123&gt;0,+$K$123-SUM(J123:J126),"")</f>
        <v>#VALUE!</v>
      </c>
      <c r="K127" s="341"/>
      <c r="L127" s="43"/>
    </row>
    <row r="128" spans="1:12" ht="15.75" thickBot="1" x14ac:dyDescent="0.3">
      <c r="A128" s="147" t="str">
        <f>+'Anx I pg 1 oferta'!$B$18&amp;"T3_L01_inst_"&amp;B128&amp;"DA1"</f>
        <v>T3_L01_inst_L01-11DA1</v>
      </c>
      <c r="B128" s="319" t="s">
        <v>95</v>
      </c>
      <c r="C128" s="322" t="str">
        <f>+VLOOKUP(B128,'DATOS CENTROS'!B:E,2,FALSE)</f>
        <v xml:space="preserve">Avenida  Granada 57 N2-59 Es:1 Pl:00 Pt:A4 y Es:1 Pl:01 Pt:A5  23003 Garaje: 57 Es:1 Pl:-2 Pt:42 y 43 </v>
      </c>
      <c r="D128" s="325" t="str">
        <f>+VLOOKUP(B128,'DATOS CENTROS'!B:E,3,FALSE)</f>
        <v>C</v>
      </c>
      <c r="E128" s="328" t="str">
        <f>+VLOOKUP(B128,'DATOS CENTROS'!B:E,4,FALSE)</f>
        <v>U.I. RTVE Jaén</v>
      </c>
      <c r="F128" s="331">
        <f>+VLOOKUP(B128,'DATOS CENTROS'!B:F,5,FALSE)</f>
        <v>2.7E-2</v>
      </c>
      <c r="G128" s="336" t="str">
        <f>+IF(G49&gt;0,G49,"")</f>
        <v/>
      </c>
      <c r="H128" s="47" t="s">
        <v>25</v>
      </c>
      <c r="I128" s="72">
        <v>0.15</v>
      </c>
      <c r="J128" s="73" t="e">
        <f>+IF($K$128&gt;0,+ROUND($K$128*I128,0),"")</f>
        <v>#VALUE!</v>
      </c>
      <c r="K128" s="339" t="str">
        <f>+IFERROR(IF(OR($G$18=0,LEN($G$18)=0),"",IF(AND(M49="ok",(H49/H49)=1),N49,"")),"¿?")</f>
        <v/>
      </c>
      <c r="L128" s="43"/>
    </row>
    <row r="129" spans="1:12" ht="15.75" thickBot="1" x14ac:dyDescent="0.3">
      <c r="A129" s="147" t="str">
        <f>+'Anx I pg 1 oferta'!$B$18&amp;"T3_L01_inst_"&amp;B128&amp;"DA2"</f>
        <v>T3_L01_inst_L01-11DA2</v>
      </c>
      <c r="B129" s="320"/>
      <c r="C129" s="323"/>
      <c r="D129" s="326"/>
      <c r="E129" s="329"/>
      <c r="F129" s="332"/>
      <c r="G129" s="337"/>
      <c r="H129" s="47" t="s">
        <v>26</v>
      </c>
      <c r="I129" s="72">
        <v>0.1</v>
      </c>
      <c r="J129" s="73" t="e">
        <f t="shared" ref="J129:J131" si="10">+IF($K$128&gt;0,+ROUND($K$128*I129,0),"")</f>
        <v>#VALUE!</v>
      </c>
      <c r="K129" s="340"/>
      <c r="L129" s="43"/>
    </row>
    <row r="130" spans="1:12" ht="15.75" thickBot="1" x14ac:dyDescent="0.3">
      <c r="A130" s="147" t="str">
        <f>+'Anx I pg 1 oferta'!$B$18&amp;"T3_L01_inst_"&amp;B128&amp;"DA3"</f>
        <v>T3_L01_inst_L01-11DA3</v>
      </c>
      <c r="B130" s="320"/>
      <c r="C130" s="323"/>
      <c r="D130" s="326"/>
      <c r="E130" s="329"/>
      <c r="F130" s="332"/>
      <c r="G130" s="337"/>
      <c r="H130" s="47" t="s">
        <v>27</v>
      </c>
      <c r="I130" s="72">
        <v>0.2</v>
      </c>
      <c r="J130" s="73" t="e">
        <f t="shared" si="10"/>
        <v>#VALUE!</v>
      </c>
      <c r="K130" s="340"/>
      <c r="L130" s="43"/>
    </row>
    <row r="131" spans="1:12" ht="15.75" thickBot="1" x14ac:dyDescent="0.3">
      <c r="A131" s="147" t="str">
        <f>+'Anx I pg 1 oferta'!$B$18&amp;"T3_L01_inst_"&amp;B128&amp;"DA4"</f>
        <v>T3_L01_inst_L01-11DA4</v>
      </c>
      <c r="B131" s="320"/>
      <c r="C131" s="323"/>
      <c r="D131" s="326"/>
      <c r="E131" s="329"/>
      <c r="F131" s="332"/>
      <c r="G131" s="337"/>
      <c r="H131" s="47" t="s">
        <v>57</v>
      </c>
      <c r="I131" s="72">
        <v>0.05</v>
      </c>
      <c r="J131" s="73" t="e">
        <f t="shared" si="10"/>
        <v>#VALUE!</v>
      </c>
      <c r="K131" s="340"/>
      <c r="L131" s="43"/>
    </row>
    <row r="132" spans="1:12" ht="15.75" thickBot="1" x14ac:dyDescent="0.3">
      <c r="A132" s="147" t="str">
        <f>+'Anx I pg 1 oferta'!$B$18&amp;"T3_L01_inst_"&amp;B128&amp;"DA5"</f>
        <v>T3_L01_inst_L01-11DA5</v>
      </c>
      <c r="B132" s="321"/>
      <c r="C132" s="324"/>
      <c r="D132" s="327"/>
      <c r="E132" s="330"/>
      <c r="F132" s="333"/>
      <c r="G132" s="338"/>
      <c r="H132" s="47" t="s">
        <v>364</v>
      </c>
      <c r="I132" s="72">
        <v>0.5</v>
      </c>
      <c r="J132" s="73" t="e">
        <f>+IF($K$128&gt;0,+$K$128-SUM(J128:J131),"")</f>
        <v>#VALUE!</v>
      </c>
      <c r="K132" s="341"/>
      <c r="L132" s="43"/>
    </row>
    <row r="133" spans="1:12" ht="15.75" thickBot="1" x14ac:dyDescent="0.3">
      <c r="A133" s="147" t="str">
        <f>+'Anx I pg 1 oferta'!$B$18&amp;"T3_L01_cab2(CA)"</f>
        <v>T3_L01_cab2(CA)</v>
      </c>
      <c r="B133" s="44" t="s">
        <v>390</v>
      </c>
      <c r="C133" s="45" t="s">
        <v>98</v>
      </c>
      <c r="D133" s="46"/>
      <c r="E133" s="46"/>
      <c r="F133" s="46"/>
      <c r="G133" s="46"/>
      <c r="H133" s="46"/>
      <c r="I133" s="46"/>
      <c r="J133" s="46"/>
    </row>
    <row r="134" spans="1:12" ht="15.75" customHeight="1" thickBot="1" x14ac:dyDescent="0.3">
      <c r="A134" s="147" t="str">
        <f>+'Anx I pg 1 oferta'!$B$18&amp;"T3_L01_inst_"&amp;B134&amp;"DA1"</f>
        <v>T3_L01_inst_L01-12DA1</v>
      </c>
      <c r="B134" s="319" t="s">
        <v>99</v>
      </c>
      <c r="C134" s="322" t="str">
        <f>+VLOOKUP(B134,'DATOS CENTROS'!B:E,2,FALSE)</f>
        <v>Real, 90, 1ª</v>
      </c>
      <c r="D134" s="325" t="str">
        <f>+VLOOKUP(B134,'DATOS CENTROS'!B:E,3,FALSE)</f>
        <v xml:space="preserve"> A + C</v>
      </c>
      <c r="E134" s="328" t="str">
        <f>+VLOOKUP(B134,'DATOS CENTROS'!B:E,4,FALSE)</f>
        <v>U.I. RTVE Ceuta</v>
      </c>
      <c r="F134" s="331">
        <f>+VLOOKUP(B134,'DATOS CENTROS'!B:F,5,FALSE)</f>
        <v>4.7E-2</v>
      </c>
      <c r="G134" s="336" t="str">
        <f>+IF(G52&gt;0,G52,"")</f>
        <v/>
      </c>
      <c r="H134" s="47" t="s">
        <v>25</v>
      </c>
      <c r="I134" s="72">
        <v>0.15</v>
      </c>
      <c r="J134" s="73" t="e">
        <f>+IF($K$134&gt;0,+ROUND($K$134*I134,0),"")</f>
        <v>#VALUE!</v>
      </c>
      <c r="K134" s="339" t="str">
        <f>+IFERROR(IF(OR($G$18=0,LEN($G$18)=0),"",IF(AND(M52="ok",(H52/H52)=1),N52,"")),"¿?")</f>
        <v/>
      </c>
      <c r="L134" s="43"/>
    </row>
    <row r="135" spans="1:12" ht="15.75" thickBot="1" x14ac:dyDescent="0.3">
      <c r="A135" s="147" t="str">
        <f>+'Anx I pg 1 oferta'!$B$18&amp;"T3_L01_inst_"&amp;B134&amp;"DA2"</f>
        <v>T3_L01_inst_L01-12DA2</v>
      </c>
      <c r="B135" s="320"/>
      <c r="C135" s="323"/>
      <c r="D135" s="326"/>
      <c r="E135" s="329"/>
      <c r="F135" s="332"/>
      <c r="G135" s="337"/>
      <c r="H135" s="47" t="s">
        <v>26</v>
      </c>
      <c r="I135" s="72">
        <v>0.1</v>
      </c>
      <c r="J135" s="73" t="e">
        <f t="shared" ref="J135:J137" si="11">+IF($K$134&gt;0,+ROUND($K$134*I135,0),"")</f>
        <v>#VALUE!</v>
      </c>
      <c r="K135" s="340"/>
      <c r="L135" s="43"/>
    </row>
    <row r="136" spans="1:12" ht="15.75" thickBot="1" x14ac:dyDescent="0.3">
      <c r="A136" s="147" t="str">
        <f>+'Anx I pg 1 oferta'!$B$18&amp;"T3_L01_inst_"&amp;B134&amp;"DA3"</f>
        <v>T3_L01_inst_L01-12DA3</v>
      </c>
      <c r="B136" s="320"/>
      <c r="C136" s="323"/>
      <c r="D136" s="326"/>
      <c r="E136" s="329"/>
      <c r="F136" s="332"/>
      <c r="G136" s="337"/>
      <c r="H136" s="47" t="s">
        <v>27</v>
      </c>
      <c r="I136" s="72">
        <v>0.2</v>
      </c>
      <c r="J136" s="73" t="e">
        <f t="shared" si="11"/>
        <v>#VALUE!</v>
      </c>
      <c r="K136" s="340"/>
      <c r="L136" s="43"/>
    </row>
    <row r="137" spans="1:12" ht="15.75" thickBot="1" x14ac:dyDescent="0.3">
      <c r="A137" s="147" t="str">
        <f>+'Anx I pg 1 oferta'!$B$18&amp;"T3_L01_inst_"&amp;B134&amp;"DA4"</f>
        <v>T3_L01_inst_L01-12DA4</v>
      </c>
      <c r="B137" s="320"/>
      <c r="C137" s="323"/>
      <c r="D137" s="326"/>
      <c r="E137" s="329"/>
      <c r="F137" s="332"/>
      <c r="G137" s="337"/>
      <c r="H137" s="47" t="s">
        <v>57</v>
      </c>
      <c r="I137" s="72">
        <v>0.05</v>
      </c>
      <c r="J137" s="73" t="e">
        <f t="shared" si="11"/>
        <v>#VALUE!</v>
      </c>
      <c r="K137" s="340"/>
      <c r="L137" s="43"/>
    </row>
    <row r="138" spans="1:12" ht="15.75" thickBot="1" x14ac:dyDescent="0.3">
      <c r="A138" s="147" t="str">
        <f>+'Anx I pg 1 oferta'!$B$18&amp;"T3_L01_inst_"&amp;B134&amp;"DA5"</f>
        <v>T3_L01_inst_L01-12DA5</v>
      </c>
      <c r="B138" s="321"/>
      <c r="C138" s="324"/>
      <c r="D138" s="327"/>
      <c r="E138" s="330"/>
      <c r="F138" s="333"/>
      <c r="G138" s="338"/>
      <c r="H138" s="47" t="s">
        <v>364</v>
      </c>
      <c r="I138" s="72">
        <v>0.5</v>
      </c>
      <c r="J138" s="73" t="e">
        <f>+IF($K$134&gt;0,+$K$134-SUM(J134:J137),"")</f>
        <v>#VALUE!</v>
      </c>
      <c r="K138" s="341"/>
      <c r="L138" s="43"/>
    </row>
    <row r="139" spans="1:12" ht="15.75" thickBot="1" x14ac:dyDescent="0.3">
      <c r="A139" s="147" t="str">
        <f>+'Anx I pg 1 oferta'!$B$18&amp;"T3_L01_inst_"&amp;B139&amp;"DA1"</f>
        <v>T3_L01_inst_L01-13DA1</v>
      </c>
      <c r="B139" s="319" t="s">
        <v>102</v>
      </c>
      <c r="C139" s="322" t="str">
        <f>+VLOOKUP(B139,'DATOS CENTROS'!B:E,2,FALSE)</f>
        <v>Av. Donantes de Sangre-Altos de la Vía</v>
      </c>
      <c r="D139" s="325" t="str">
        <f>+VLOOKUP(B139,'DATOS CENTROS'!B:E,3,FALSE)</f>
        <v xml:space="preserve"> A + C</v>
      </c>
      <c r="E139" s="328" t="str">
        <f>+VLOOKUP(B139,'DATOS CENTROS'!B:E,4,FALSE)</f>
        <v>U.I. RTVE Melilla</v>
      </c>
      <c r="F139" s="331">
        <f>+VLOOKUP(B139,'DATOS CENTROS'!B:F,5,FALSE)</f>
        <v>3.9E-2</v>
      </c>
      <c r="G139" s="336" t="str">
        <f>+IF(G54&gt;0,G54,"")</f>
        <v/>
      </c>
      <c r="H139" s="47" t="s">
        <v>25</v>
      </c>
      <c r="I139" s="72">
        <v>0.15</v>
      </c>
      <c r="J139" s="73" t="e">
        <f>+IF($K$139&gt;0,+ROUND($K$139*I139,0),"")</f>
        <v>#VALUE!</v>
      </c>
      <c r="K139" s="339" t="str">
        <f>+IFERROR(IF(OR($G$18=0,LEN($G$18)=0),"",IF(AND(M54="ok",(H54/H54)=1),N54,"")),"¿?")</f>
        <v/>
      </c>
      <c r="L139" s="43"/>
    </row>
    <row r="140" spans="1:12" ht="15.75" thickBot="1" x14ac:dyDescent="0.3">
      <c r="A140" s="147" t="str">
        <f>+'Anx I pg 1 oferta'!$B$18&amp;"T3_L01_inst_"&amp;B139&amp;"DA2"</f>
        <v>T3_L01_inst_L01-13DA2</v>
      </c>
      <c r="B140" s="320"/>
      <c r="C140" s="323"/>
      <c r="D140" s="326"/>
      <c r="E140" s="329"/>
      <c r="F140" s="332"/>
      <c r="G140" s="337"/>
      <c r="H140" s="47" t="s">
        <v>26</v>
      </c>
      <c r="I140" s="72">
        <v>0.1</v>
      </c>
      <c r="J140" s="73" t="e">
        <f t="shared" ref="J140:J142" si="12">+IF($K$139&gt;0,+ROUND($K$139*I140,0),"")</f>
        <v>#VALUE!</v>
      </c>
      <c r="K140" s="340"/>
      <c r="L140" s="43"/>
    </row>
    <row r="141" spans="1:12" ht="15.75" thickBot="1" x14ac:dyDescent="0.3">
      <c r="A141" s="147" t="str">
        <f>+'Anx I pg 1 oferta'!$B$18&amp;"T3_L01_inst_"&amp;B139&amp;"DA3"</f>
        <v>T3_L01_inst_L01-13DA3</v>
      </c>
      <c r="B141" s="320"/>
      <c r="C141" s="323"/>
      <c r="D141" s="326"/>
      <c r="E141" s="329"/>
      <c r="F141" s="332"/>
      <c r="G141" s="337"/>
      <c r="H141" s="47" t="s">
        <v>27</v>
      </c>
      <c r="I141" s="72">
        <v>0.2</v>
      </c>
      <c r="J141" s="73" t="e">
        <f t="shared" si="12"/>
        <v>#VALUE!</v>
      </c>
      <c r="K141" s="340"/>
      <c r="L141" s="43"/>
    </row>
    <row r="142" spans="1:12" ht="15.75" thickBot="1" x14ac:dyDescent="0.3">
      <c r="A142" s="147" t="str">
        <f>+'Anx I pg 1 oferta'!$B$18&amp;"T3_L01_inst_"&amp;B139&amp;"DA4"</f>
        <v>T3_L01_inst_L01-13DA4</v>
      </c>
      <c r="B142" s="320"/>
      <c r="C142" s="323"/>
      <c r="D142" s="326"/>
      <c r="E142" s="329"/>
      <c r="F142" s="332"/>
      <c r="G142" s="337"/>
      <c r="H142" s="47" t="s">
        <v>57</v>
      </c>
      <c r="I142" s="72">
        <v>0.05</v>
      </c>
      <c r="J142" s="73" t="e">
        <f t="shared" si="12"/>
        <v>#VALUE!</v>
      </c>
      <c r="K142" s="340"/>
      <c r="L142" s="43"/>
    </row>
    <row r="143" spans="1:12" ht="15.75" thickBot="1" x14ac:dyDescent="0.3">
      <c r="A143" s="147" t="str">
        <f>+'Anx I pg 1 oferta'!$B$18&amp;"T3_L01_inst_"&amp;B139&amp;"DA5"</f>
        <v>T3_L01_inst_L01-13DA5</v>
      </c>
      <c r="B143" s="321"/>
      <c r="C143" s="324"/>
      <c r="D143" s="327"/>
      <c r="E143" s="330"/>
      <c r="F143" s="333"/>
      <c r="G143" s="338"/>
      <c r="H143" s="47" t="s">
        <v>364</v>
      </c>
      <c r="I143" s="72">
        <v>0.5</v>
      </c>
      <c r="J143" s="73" t="e">
        <f>+IF($K$139&gt;0,+$K$139-SUM(J139:J142),"")</f>
        <v>#VALUE!</v>
      </c>
      <c r="K143" s="341"/>
      <c r="L143" s="43"/>
    </row>
    <row r="144" spans="1:12" ht="15.75" thickBot="1" x14ac:dyDescent="0.3">
      <c r="A144" s="147" t="str">
        <f>+'Anx I pg 1 oferta'!$B$18&amp;"T3_L01_cab3(CA)"</f>
        <v>T3_L01_cab3(CA)</v>
      </c>
      <c r="B144" s="44" t="s">
        <v>390</v>
      </c>
      <c r="C144" s="45" t="s">
        <v>105</v>
      </c>
      <c r="D144" s="46"/>
      <c r="E144" s="46"/>
      <c r="F144" s="46"/>
      <c r="G144" s="46"/>
      <c r="H144" s="46"/>
      <c r="I144" s="46"/>
      <c r="J144" s="46"/>
    </row>
    <row r="145" spans="1:12" ht="15.75" thickBot="1" x14ac:dyDescent="0.3">
      <c r="A145" s="147" t="str">
        <f>+'Anx I pg 1 oferta'!$B$18&amp;"T3_L01_inst_"&amp;B145&amp;"DA1"</f>
        <v>T3_L01_inst_L01-14DA1</v>
      </c>
      <c r="B145" s="319" t="s">
        <v>106</v>
      </c>
      <c r="C145" s="322" t="str">
        <f>+VLOOKUP(B145,'DATOS CENTROS'!B:E,2,FALSE)</f>
        <v>Aldea Cano/ Las Agujuelas</v>
      </c>
      <c r="D145" s="325" t="str">
        <f>+VLOOKUP(B145,'DATOS CENTROS'!B:E,3,FALSE)</f>
        <v xml:space="preserve"> A + C</v>
      </c>
      <c r="E145" s="328" t="str">
        <f>+VLOOKUP(B145,'DATOS CENTROS'!B:E,4,FALSE)</f>
        <v>C.E. OM ALDEA CANO / LAS ARGUIJUELA</v>
      </c>
      <c r="F145" s="331">
        <f>+VLOOKUP(B145,'DATOS CENTROS'!B:F,5,FALSE)</f>
        <v>0.11799999999999999</v>
      </c>
      <c r="G145" s="336" t="str">
        <f>+IF(G57&gt;0,G57,"")</f>
        <v/>
      </c>
      <c r="H145" s="47" t="s">
        <v>25</v>
      </c>
      <c r="I145" s="72">
        <v>0.15</v>
      </c>
      <c r="J145" s="73" t="e">
        <f>+IF($K$145&gt;0,+ROUND($K$145*I145,0),"")</f>
        <v>#VALUE!</v>
      </c>
      <c r="K145" s="339" t="str">
        <f>+IFERROR(IF(OR($G$18=0,LEN($G$18)=0),"",IF(AND(M57="ok",(H57/H57)=1),N57,"")),"¿?")</f>
        <v/>
      </c>
      <c r="L145" s="43"/>
    </row>
    <row r="146" spans="1:12" ht="15.75" thickBot="1" x14ac:dyDescent="0.3">
      <c r="A146" s="147" t="str">
        <f>+'Anx I pg 1 oferta'!$B$18&amp;"T3_L01_inst_"&amp;B145&amp;"DA2"</f>
        <v>T3_L01_inst_L01-14DA2</v>
      </c>
      <c r="B146" s="320"/>
      <c r="C146" s="323"/>
      <c r="D146" s="326"/>
      <c r="E146" s="329"/>
      <c r="F146" s="332"/>
      <c r="G146" s="337"/>
      <c r="H146" s="47" t="s">
        <v>26</v>
      </c>
      <c r="I146" s="72">
        <v>0.1</v>
      </c>
      <c r="J146" s="73" t="e">
        <f t="shared" ref="J146:J148" si="13">+IF($K$145&gt;0,+ROUND($K$145*I146,0),"")</f>
        <v>#VALUE!</v>
      </c>
      <c r="K146" s="340"/>
      <c r="L146" s="43"/>
    </row>
    <row r="147" spans="1:12" ht="15.75" thickBot="1" x14ac:dyDescent="0.3">
      <c r="A147" s="147" t="str">
        <f>+'Anx I pg 1 oferta'!$B$18&amp;"T3_L01_inst_"&amp;B145&amp;"DA3"</f>
        <v>T3_L01_inst_L01-14DA3</v>
      </c>
      <c r="B147" s="320"/>
      <c r="C147" s="323"/>
      <c r="D147" s="326"/>
      <c r="E147" s="329"/>
      <c r="F147" s="332"/>
      <c r="G147" s="337"/>
      <c r="H147" s="47" t="s">
        <v>27</v>
      </c>
      <c r="I147" s="72">
        <v>0.2</v>
      </c>
      <c r="J147" s="73" t="e">
        <f t="shared" si="13"/>
        <v>#VALUE!</v>
      </c>
      <c r="K147" s="340"/>
      <c r="L147" s="43"/>
    </row>
    <row r="148" spans="1:12" ht="15.75" thickBot="1" x14ac:dyDescent="0.3">
      <c r="A148" s="147" t="str">
        <f>+'Anx I pg 1 oferta'!$B$18&amp;"T3_L01_inst_"&amp;B145&amp;"DA4"</f>
        <v>T3_L01_inst_L01-14DA4</v>
      </c>
      <c r="B148" s="320"/>
      <c r="C148" s="323"/>
      <c r="D148" s="326"/>
      <c r="E148" s="329"/>
      <c r="F148" s="332"/>
      <c r="G148" s="337"/>
      <c r="H148" s="47" t="s">
        <v>57</v>
      </c>
      <c r="I148" s="72">
        <v>0.05</v>
      </c>
      <c r="J148" s="73" t="e">
        <f t="shared" si="13"/>
        <v>#VALUE!</v>
      </c>
      <c r="K148" s="340"/>
      <c r="L148" s="43"/>
    </row>
    <row r="149" spans="1:12" ht="15.75" thickBot="1" x14ac:dyDescent="0.3">
      <c r="A149" s="147" t="str">
        <f>+'Anx I pg 1 oferta'!$B$18&amp;"T3_L01_inst_"&amp;B145&amp;"DA5"</f>
        <v>T3_L01_inst_L01-14DA5</v>
      </c>
      <c r="B149" s="321"/>
      <c r="C149" s="324"/>
      <c r="D149" s="327"/>
      <c r="E149" s="330"/>
      <c r="F149" s="333"/>
      <c r="G149" s="338"/>
      <c r="H149" s="47" t="s">
        <v>364</v>
      </c>
      <c r="I149" s="72">
        <v>0.5</v>
      </c>
      <c r="J149" s="73" t="e">
        <f>+IF($K$145&gt;0,+$K$145-SUM(J145:J148),"")</f>
        <v>#VALUE!</v>
      </c>
      <c r="K149" s="341"/>
      <c r="L149" s="43"/>
    </row>
    <row r="150" spans="1:12" ht="15.75" thickBot="1" x14ac:dyDescent="0.3">
      <c r="A150" s="147" t="str">
        <f>+'Anx I pg 1 oferta'!$B$18&amp;"T3_L01_inst_"&amp;B150&amp;"DA1"</f>
        <v>T3_L01_inst_L01-15DA1</v>
      </c>
      <c r="B150" s="319" t="s">
        <v>108</v>
      </c>
      <c r="C150" s="322" t="str">
        <f>+VLOOKUP(B150,'DATOS CENTROS'!B:E,2,FALSE)</f>
        <v>Antonio Nebrija, s/n</v>
      </c>
      <c r="D150" s="325" t="str">
        <f>+VLOOKUP(B150,'DATOS CENTROS'!B:E,3,FALSE)</f>
        <v xml:space="preserve"> A + C</v>
      </c>
      <c r="E150" s="328" t="str">
        <f>+VLOOKUP(B150,'DATOS CENTROS'!B:E,4,FALSE)</f>
        <v>C.T. RTVE Mérida</v>
      </c>
      <c r="F150" s="331">
        <f>+VLOOKUP(B150,'DATOS CENTROS'!B:F,5,FALSE)</f>
        <v>8.7999999999999995E-2</v>
      </c>
      <c r="G150" s="336" t="str">
        <f>+IF(G59&gt;0,G59,"")</f>
        <v/>
      </c>
      <c r="H150" s="47" t="s">
        <v>25</v>
      </c>
      <c r="I150" s="72">
        <v>0.15</v>
      </c>
      <c r="J150" s="73" t="e">
        <f>+IF($K$150&gt;0,+ROUND($K$150*I150,0),"")</f>
        <v>#VALUE!</v>
      </c>
      <c r="K150" s="339" t="str">
        <f>+IFERROR(IF(OR($G$18=0,LEN($G$18)=0),"",IF(AND(M59="ok",(H59/H59)=1),N59,"")),"¿?")</f>
        <v/>
      </c>
      <c r="L150" s="43"/>
    </row>
    <row r="151" spans="1:12" ht="15.75" thickBot="1" x14ac:dyDescent="0.3">
      <c r="A151" s="147" t="str">
        <f>+'Anx I pg 1 oferta'!$B$18&amp;"T3_L01_inst_"&amp;B150&amp;"DA2"</f>
        <v>T3_L01_inst_L01-15DA2</v>
      </c>
      <c r="B151" s="320"/>
      <c r="C151" s="323"/>
      <c r="D151" s="326"/>
      <c r="E151" s="329"/>
      <c r="F151" s="332"/>
      <c r="G151" s="337"/>
      <c r="H151" s="47" t="s">
        <v>26</v>
      </c>
      <c r="I151" s="72">
        <v>0.1</v>
      </c>
      <c r="J151" s="73" t="e">
        <f t="shared" ref="J151:J153" si="14">+IF($K$150&gt;0,+ROUND($K$150*I151,0),"")</f>
        <v>#VALUE!</v>
      </c>
      <c r="K151" s="340"/>
      <c r="L151" s="43"/>
    </row>
    <row r="152" spans="1:12" ht="15.75" thickBot="1" x14ac:dyDescent="0.3">
      <c r="A152" s="147" t="str">
        <f>+'Anx I pg 1 oferta'!$B$18&amp;"T3_L01_inst_"&amp;B150&amp;"DA3"</f>
        <v>T3_L01_inst_L01-15DA3</v>
      </c>
      <c r="B152" s="320"/>
      <c r="C152" s="323"/>
      <c r="D152" s="326"/>
      <c r="E152" s="329"/>
      <c r="F152" s="332"/>
      <c r="G152" s="337"/>
      <c r="H152" s="47" t="s">
        <v>27</v>
      </c>
      <c r="I152" s="72">
        <v>0.2</v>
      </c>
      <c r="J152" s="73" t="e">
        <f t="shared" si="14"/>
        <v>#VALUE!</v>
      </c>
      <c r="K152" s="340"/>
      <c r="L152" s="43"/>
    </row>
    <row r="153" spans="1:12" ht="15.75" thickBot="1" x14ac:dyDescent="0.3">
      <c r="A153" s="147" t="str">
        <f>+'Anx I pg 1 oferta'!$B$18&amp;"T3_L01_inst_"&amp;B150&amp;"DA4"</f>
        <v>T3_L01_inst_L01-15DA4</v>
      </c>
      <c r="B153" s="320"/>
      <c r="C153" s="323"/>
      <c r="D153" s="326"/>
      <c r="E153" s="329"/>
      <c r="F153" s="332"/>
      <c r="G153" s="337"/>
      <c r="H153" s="47" t="s">
        <v>57</v>
      </c>
      <c r="I153" s="72">
        <v>0.05</v>
      </c>
      <c r="J153" s="73" t="e">
        <f t="shared" si="14"/>
        <v>#VALUE!</v>
      </c>
      <c r="K153" s="340"/>
      <c r="L153" s="43"/>
    </row>
    <row r="154" spans="1:12" ht="15.75" thickBot="1" x14ac:dyDescent="0.3">
      <c r="A154" s="147" t="str">
        <f>+'Anx I pg 1 oferta'!$B$18&amp;"T3_L01_inst_"&amp;B150&amp;"DA5"</f>
        <v>T3_L01_inst_L01-15DA5</v>
      </c>
      <c r="B154" s="321"/>
      <c r="C154" s="324"/>
      <c r="D154" s="327"/>
      <c r="E154" s="330"/>
      <c r="F154" s="333"/>
      <c r="G154" s="338"/>
      <c r="H154" s="47" t="s">
        <v>364</v>
      </c>
      <c r="I154" s="72">
        <v>0.5</v>
      </c>
      <c r="J154" s="73" t="e">
        <f>+IF($K$150&gt;0,+$K$150-SUM(J150:J153),"")</f>
        <v>#VALUE!</v>
      </c>
      <c r="K154" s="341"/>
      <c r="L154" s="43"/>
    </row>
    <row r="155" spans="1:12" ht="15.75" thickBot="1" x14ac:dyDescent="0.3">
      <c r="A155" s="147" t="str">
        <f>+'Anx I pg 1 oferta'!$B$18&amp;"T3_L01_inst_"&amp;B155&amp;"DA1"</f>
        <v>T3_L01_inst_L01-16DA1</v>
      </c>
      <c r="B155" s="319" t="s">
        <v>111</v>
      </c>
      <c r="C155" s="322" t="str">
        <f>+VLOOKUP(B155,'DATOS CENTROS'!B:E,2,FALSE)</f>
        <v>Avenida  Ruta de la Plata 10 Plta. Baja, Local 2 y Plta. Semisótano II - Local 2ºA  10001</v>
      </c>
      <c r="D155" s="325" t="str">
        <f>+VLOOKUP(B155,'DATOS CENTROS'!B:E,3,FALSE)</f>
        <v>C</v>
      </c>
      <c r="E155" s="328" t="str">
        <f>+VLOOKUP(B155,'DATOS CENTROS'!B:E,4,FALSE)</f>
        <v>C.T. RNE Extremadura</v>
      </c>
      <c r="F155" s="331">
        <f>+VLOOKUP(B155,'DATOS CENTROS'!B:F,5,FALSE)</f>
        <v>1.7000000000000001E-2</v>
      </c>
      <c r="G155" s="336" t="str">
        <f>+IF(G61&gt;0,G61,"")</f>
        <v/>
      </c>
      <c r="H155" s="47" t="s">
        <v>25</v>
      </c>
      <c r="I155" s="72">
        <v>0.15</v>
      </c>
      <c r="J155" s="73" t="e">
        <f>+IF($K$155&gt;0,+ROUND($K$155*I155,0),"")</f>
        <v>#VALUE!</v>
      </c>
      <c r="K155" s="339" t="str">
        <f>+IFERROR(IF(OR($G$18=0,LEN($G$18)=0),"",IF(AND(M61="ok",(H61/H61)=1),N61,"")),"¿?")</f>
        <v/>
      </c>
      <c r="L155" s="43"/>
    </row>
    <row r="156" spans="1:12" ht="15.75" thickBot="1" x14ac:dyDescent="0.3">
      <c r="A156" s="147" t="str">
        <f>+'Anx I pg 1 oferta'!$B$18&amp;"T3_L01_inst_"&amp;B155&amp;"DA2"</f>
        <v>T3_L01_inst_L01-16DA2</v>
      </c>
      <c r="B156" s="320"/>
      <c r="C156" s="323"/>
      <c r="D156" s="326"/>
      <c r="E156" s="329"/>
      <c r="F156" s="332"/>
      <c r="G156" s="337"/>
      <c r="H156" s="47" t="s">
        <v>26</v>
      </c>
      <c r="I156" s="72">
        <v>0.1</v>
      </c>
      <c r="J156" s="73" t="e">
        <f t="shared" ref="J156:J158" si="15">+IF($K$155&gt;0,+ROUND($K$155*I156,0),"")</f>
        <v>#VALUE!</v>
      </c>
      <c r="K156" s="340"/>
      <c r="L156" s="43"/>
    </row>
    <row r="157" spans="1:12" ht="15.75" thickBot="1" x14ac:dyDescent="0.3">
      <c r="A157" s="147" t="str">
        <f>+'Anx I pg 1 oferta'!$B$18&amp;"T3_L01_inst_"&amp;B155&amp;"DA3"</f>
        <v>T3_L01_inst_L01-16DA3</v>
      </c>
      <c r="B157" s="320"/>
      <c r="C157" s="323"/>
      <c r="D157" s="326"/>
      <c r="E157" s="329"/>
      <c r="F157" s="332"/>
      <c r="G157" s="337"/>
      <c r="H157" s="47" t="s">
        <v>27</v>
      </c>
      <c r="I157" s="72">
        <v>0.2</v>
      </c>
      <c r="J157" s="73" t="e">
        <f t="shared" si="15"/>
        <v>#VALUE!</v>
      </c>
      <c r="K157" s="340"/>
      <c r="L157" s="43"/>
    </row>
    <row r="158" spans="1:12" ht="15.75" thickBot="1" x14ac:dyDescent="0.3">
      <c r="A158" s="147" t="str">
        <f>+'Anx I pg 1 oferta'!$B$18&amp;"T3_L01_inst_"&amp;B155&amp;"DA4"</f>
        <v>T3_L01_inst_L01-16DA4</v>
      </c>
      <c r="B158" s="320"/>
      <c r="C158" s="323"/>
      <c r="D158" s="326"/>
      <c r="E158" s="329"/>
      <c r="F158" s="332"/>
      <c r="G158" s="337"/>
      <c r="H158" s="47" t="s">
        <v>57</v>
      </c>
      <c r="I158" s="72">
        <v>0.05</v>
      </c>
      <c r="J158" s="73" t="e">
        <f t="shared" si="15"/>
        <v>#VALUE!</v>
      </c>
      <c r="K158" s="340"/>
      <c r="L158" s="43"/>
    </row>
    <row r="159" spans="1:12" ht="15.75" thickBot="1" x14ac:dyDescent="0.3">
      <c r="A159" s="147" t="str">
        <f>+'Anx I pg 1 oferta'!$B$18&amp;"T3_L01_inst_"&amp;B155&amp;"DA5"</f>
        <v>T3_L01_inst_L01-16DA5</v>
      </c>
      <c r="B159" s="321"/>
      <c r="C159" s="324"/>
      <c r="D159" s="327"/>
      <c r="E159" s="330"/>
      <c r="F159" s="333"/>
      <c r="G159" s="338"/>
      <c r="H159" s="47" t="s">
        <v>364</v>
      </c>
      <c r="I159" s="72">
        <v>0.5</v>
      </c>
      <c r="J159" s="73" t="e">
        <f>+IF($K$155&gt;0,+$K$155-SUM(J155:J158),"")</f>
        <v>#VALUE!</v>
      </c>
      <c r="K159" s="341"/>
      <c r="L159" s="43"/>
    </row>
    <row r="160" spans="1:12" ht="15.75" customHeight="1" thickBot="1" x14ac:dyDescent="0.3">
      <c r="A160" s="147" t="str">
        <f>+'Anx I pg 1 oferta'!$B$18&amp;"T3_L01_inst_"&amp;B160&amp;"DA1"</f>
        <v>T3_L01_inst_L01-17DA1</v>
      </c>
      <c r="B160" s="319" t="s">
        <v>114</v>
      </c>
      <c r="C160" s="322" t="str">
        <f>+VLOOKUP(B160,'DATOS CENTROS'!B:E,2,FALSE)</f>
        <v>Calle  Moreno de Vargas 28 1º C y 1º D  06800</v>
      </c>
      <c r="D160" s="325" t="str">
        <f>+VLOOKUP(B160,'DATOS CENTROS'!B:E,3,FALSE)</f>
        <v>C</v>
      </c>
      <c r="E160" s="328" t="str">
        <f>+VLOOKUP(B160,'DATOS CENTROS'!B:E,4,FALSE)</f>
        <v>S.U. Mérida (Moreno de Vargas)</v>
      </c>
      <c r="F160" s="331">
        <f>+VLOOKUP(B160,'DATOS CENTROS'!B:F,5,FALSE)</f>
        <v>1.2E-2</v>
      </c>
      <c r="G160" s="336" t="str">
        <f>+IF(G63&gt;0,G63,"")</f>
        <v/>
      </c>
      <c r="H160" s="47" t="s">
        <v>25</v>
      </c>
      <c r="I160" s="72">
        <v>0.15</v>
      </c>
      <c r="J160" s="73" t="e">
        <f>+IF($K$160&gt;0,+ROUND($K$160*I160,0),"")</f>
        <v>#VALUE!</v>
      </c>
      <c r="K160" s="339" t="str">
        <f>+IFERROR(IF(OR($G$18=0,LEN($G$18)=0),"",IF(AND(M63="ok",(H63/H63)=1),N63,"")),"¿?")</f>
        <v/>
      </c>
      <c r="L160" s="43"/>
    </row>
    <row r="161" spans="1:12" ht="15.75" thickBot="1" x14ac:dyDescent="0.3">
      <c r="A161" s="147" t="str">
        <f>+'Anx I pg 1 oferta'!$B$18&amp;"T3_L01_inst_"&amp;B160&amp;"DA2"</f>
        <v>T3_L01_inst_L01-17DA2</v>
      </c>
      <c r="B161" s="320"/>
      <c r="C161" s="323"/>
      <c r="D161" s="326"/>
      <c r="E161" s="329"/>
      <c r="F161" s="332"/>
      <c r="G161" s="337"/>
      <c r="H161" s="47" t="s">
        <v>26</v>
      </c>
      <c r="I161" s="72">
        <v>0.1</v>
      </c>
      <c r="J161" s="73" t="e">
        <f t="shared" ref="J161:J163" si="16">+IF($K$160&gt;0,+ROUND($K$160*I161,0),"")</f>
        <v>#VALUE!</v>
      </c>
      <c r="K161" s="340"/>
      <c r="L161" s="43"/>
    </row>
    <row r="162" spans="1:12" ht="15.75" thickBot="1" x14ac:dyDescent="0.3">
      <c r="A162" s="147" t="str">
        <f>+'Anx I pg 1 oferta'!$B$18&amp;"T3_L01_inst_"&amp;B160&amp;"DA3"</f>
        <v>T3_L01_inst_L01-17DA3</v>
      </c>
      <c r="B162" s="320"/>
      <c r="C162" s="323"/>
      <c r="D162" s="326"/>
      <c r="E162" s="329"/>
      <c r="F162" s="332"/>
      <c r="G162" s="337"/>
      <c r="H162" s="47" t="s">
        <v>27</v>
      </c>
      <c r="I162" s="72">
        <v>0.2</v>
      </c>
      <c r="J162" s="73" t="e">
        <f t="shared" si="16"/>
        <v>#VALUE!</v>
      </c>
      <c r="K162" s="340"/>
      <c r="L162" s="43"/>
    </row>
    <row r="163" spans="1:12" ht="15.75" thickBot="1" x14ac:dyDescent="0.3">
      <c r="A163" s="147" t="str">
        <f>+'Anx I pg 1 oferta'!$B$18&amp;"T3_L01_inst_"&amp;B160&amp;"DA4"</f>
        <v>T3_L01_inst_L01-17DA4</v>
      </c>
      <c r="B163" s="320"/>
      <c r="C163" s="323"/>
      <c r="D163" s="326"/>
      <c r="E163" s="329"/>
      <c r="F163" s="332"/>
      <c r="G163" s="337"/>
      <c r="H163" s="47" t="s">
        <v>57</v>
      </c>
      <c r="I163" s="72">
        <v>0.05</v>
      </c>
      <c r="J163" s="73" t="e">
        <f t="shared" si="16"/>
        <v>#VALUE!</v>
      </c>
      <c r="K163" s="340"/>
      <c r="L163" s="43"/>
    </row>
    <row r="164" spans="1:12" ht="15.75" thickBot="1" x14ac:dyDescent="0.3">
      <c r="A164" s="147" t="str">
        <f>+'Anx I pg 1 oferta'!$B$18&amp;"T3_L01_inst_"&amp;B160&amp;"DA5"</f>
        <v>T3_L01_inst_L01-17DA5</v>
      </c>
      <c r="B164" s="321"/>
      <c r="C164" s="324"/>
      <c r="D164" s="327"/>
      <c r="E164" s="330"/>
      <c r="F164" s="333"/>
      <c r="G164" s="338"/>
      <c r="H164" s="47" t="s">
        <v>364</v>
      </c>
      <c r="I164" s="72">
        <v>0.5</v>
      </c>
      <c r="J164" s="73" t="e">
        <f>+IF($K$160&gt;0,+$K$160-SUM(J160:J163),"")</f>
        <v>#VALUE!</v>
      </c>
      <c r="K164" s="341"/>
      <c r="L164" s="43"/>
    </row>
    <row r="165" spans="1:12" ht="15.75" thickBot="1" x14ac:dyDescent="0.3">
      <c r="A165" s="147" t="str">
        <f>+'Anx I pg 1 oferta'!$B$18&amp;"T3_L01_inst_"&amp;B165&amp;"DA1"</f>
        <v>T3_L01_inst_L01-18DA1</v>
      </c>
      <c r="B165" s="319" t="s">
        <v>117</v>
      </c>
      <c r="C165" s="322" t="str">
        <f>+VLOOKUP(B165,'DATOS CENTROS'!B:E,2,FALSE)</f>
        <v>Plaza  España 5 2ª Planta  06002</v>
      </c>
      <c r="D165" s="325" t="str">
        <f>+VLOOKUP(B165,'DATOS CENTROS'!B:E,3,FALSE)</f>
        <v>C</v>
      </c>
      <c r="E165" s="328" t="str">
        <f>+VLOOKUP(B165,'DATOS CENTROS'!B:E,4,FALSE)</f>
        <v>U.I. RTVE Badajoz</v>
      </c>
      <c r="F165" s="331">
        <f>+VLOOKUP(B165,'DATOS CENTROS'!B:F,5,FALSE)</f>
        <v>1.4999999999999999E-2</v>
      </c>
      <c r="G165" s="336" t="str">
        <f>+IF(G65&gt;0,G65,"")</f>
        <v/>
      </c>
      <c r="H165" s="47" t="s">
        <v>25</v>
      </c>
      <c r="I165" s="72">
        <v>0.15</v>
      </c>
      <c r="J165" s="73" t="e">
        <f>+IF($K$165&gt;0,+ROUND($K$165*I165,0),"")</f>
        <v>#VALUE!</v>
      </c>
      <c r="K165" s="339" t="str">
        <f>+IFERROR(IF(OR($G$18=0,LEN($G$18)=0),"",IF(AND(M65="ok",(H65/H65)=1),N65,"")),"¿?")</f>
        <v/>
      </c>
      <c r="L165" s="43"/>
    </row>
    <row r="166" spans="1:12" ht="15.75" thickBot="1" x14ac:dyDescent="0.3">
      <c r="A166" s="147" t="str">
        <f>+'Anx I pg 1 oferta'!$B$18&amp;"T3_L01_inst_"&amp;B165&amp;"DA2"</f>
        <v>T3_L01_inst_L01-18DA2</v>
      </c>
      <c r="B166" s="320"/>
      <c r="C166" s="323"/>
      <c r="D166" s="326"/>
      <c r="E166" s="329"/>
      <c r="F166" s="332"/>
      <c r="G166" s="337"/>
      <c r="H166" s="47" t="s">
        <v>26</v>
      </c>
      <c r="I166" s="72">
        <v>0.1</v>
      </c>
      <c r="J166" s="73" t="e">
        <f t="shared" ref="J166:J168" si="17">+IF($K$165&gt;0,+ROUND($K$165*I166,0),"")</f>
        <v>#VALUE!</v>
      </c>
      <c r="K166" s="340"/>
      <c r="L166" s="43"/>
    </row>
    <row r="167" spans="1:12" ht="15.75" thickBot="1" x14ac:dyDescent="0.3">
      <c r="A167" s="147" t="str">
        <f>+'Anx I pg 1 oferta'!$B$18&amp;"T3_L01_inst_"&amp;B165&amp;"DA3"</f>
        <v>T3_L01_inst_L01-18DA3</v>
      </c>
      <c r="B167" s="320"/>
      <c r="C167" s="323"/>
      <c r="D167" s="326"/>
      <c r="E167" s="329"/>
      <c r="F167" s="332"/>
      <c r="G167" s="337"/>
      <c r="H167" s="47" t="s">
        <v>27</v>
      </c>
      <c r="I167" s="72">
        <v>0.2</v>
      </c>
      <c r="J167" s="73" t="e">
        <f t="shared" si="17"/>
        <v>#VALUE!</v>
      </c>
      <c r="K167" s="340"/>
      <c r="L167" s="43"/>
    </row>
    <row r="168" spans="1:12" ht="15.75" thickBot="1" x14ac:dyDescent="0.3">
      <c r="A168" s="147" t="str">
        <f>+'Anx I pg 1 oferta'!$B$18&amp;"T3_L01_inst_"&amp;B165&amp;"DA4"</f>
        <v>T3_L01_inst_L01-18DA4</v>
      </c>
      <c r="B168" s="320"/>
      <c r="C168" s="323"/>
      <c r="D168" s="326"/>
      <c r="E168" s="329"/>
      <c r="F168" s="332"/>
      <c r="G168" s="337"/>
      <c r="H168" s="47" t="s">
        <v>57</v>
      </c>
      <c r="I168" s="72">
        <v>0.05</v>
      </c>
      <c r="J168" s="73" t="e">
        <f t="shared" si="17"/>
        <v>#VALUE!</v>
      </c>
      <c r="K168" s="340"/>
      <c r="L168" s="43"/>
    </row>
    <row r="169" spans="1:12" ht="15.75" thickBot="1" x14ac:dyDescent="0.3">
      <c r="A169" s="147" t="str">
        <f>+'Anx I pg 1 oferta'!$B$18&amp;"T3_L01_inst_"&amp;B165&amp;"DA5"</f>
        <v>T3_L01_inst_L01-18DA5</v>
      </c>
      <c r="B169" s="321"/>
      <c r="C169" s="324"/>
      <c r="D169" s="327"/>
      <c r="E169" s="330"/>
      <c r="F169" s="333"/>
      <c r="G169" s="338"/>
      <c r="H169" s="47" t="s">
        <v>364</v>
      </c>
      <c r="I169" s="72">
        <v>0.5</v>
      </c>
      <c r="J169" s="73" t="e">
        <f>+IF($K$165&gt;0,+$K$165-SUM(J165:J168),"")</f>
        <v>#VALUE!</v>
      </c>
      <c r="K169" s="341"/>
      <c r="L169" s="43"/>
    </row>
    <row r="170" spans="1:12" x14ac:dyDescent="0.25">
      <c r="A170" s="147" t="str">
        <f>+'Anx I pg 1 oferta'!$B$18&amp;"T3_L01_TOT"</f>
        <v>T3_L01_TOT</v>
      </c>
      <c r="B170" s="278" t="s">
        <v>390</v>
      </c>
      <c r="C170" s="122"/>
      <c r="D170" s="122"/>
      <c r="E170" s="122"/>
      <c r="F170" s="285">
        <f>SUM(F78:F169)</f>
        <v>1</v>
      </c>
      <c r="G170" s="285">
        <f>SUM(G78:G169)</f>
        <v>0</v>
      </c>
      <c r="H170" s="122"/>
      <c r="I170" s="122"/>
      <c r="J170" s="287" t="e">
        <f>SUM(J78:J169)</f>
        <v>#VALUE!</v>
      </c>
      <c r="K170" s="287">
        <f>SUM(K78:K169)</f>
        <v>0</v>
      </c>
    </row>
    <row r="171" spans="1:12" x14ac:dyDescent="0.25">
      <c r="A171" s="147" t="s">
        <v>544</v>
      </c>
      <c r="B171" s="122" t="s">
        <v>390</v>
      </c>
      <c r="C171" s="122"/>
      <c r="D171" s="122"/>
      <c r="E171" s="122"/>
      <c r="F171" s="122"/>
      <c r="G171" s="122"/>
      <c r="H171" s="122"/>
      <c r="I171" s="122"/>
      <c r="J171" s="122"/>
      <c r="K171" s="122"/>
    </row>
    <row r="172" spans="1:12" x14ac:dyDescent="0.25">
      <c r="A172" s="147" t="s">
        <v>544</v>
      </c>
      <c r="B172" s="122" t="s">
        <v>390</v>
      </c>
      <c r="C172" s="122"/>
      <c r="D172" s="122"/>
      <c r="E172" s="122"/>
      <c r="F172" s="122"/>
      <c r="G172" s="122"/>
      <c r="H172" s="122"/>
      <c r="I172" s="122"/>
      <c r="J172" s="122"/>
      <c r="K172" s="122"/>
    </row>
    <row r="173" spans="1:12" x14ac:dyDescent="0.25">
      <c r="A173" s="147" t="s">
        <v>542</v>
      </c>
      <c r="B173" s="122" t="s">
        <v>390</v>
      </c>
      <c r="C173" s="122"/>
      <c r="D173" s="122"/>
      <c r="E173" s="122"/>
      <c r="F173" s="122"/>
      <c r="G173" s="122"/>
      <c r="H173" s="122"/>
      <c r="I173" s="122" t="s">
        <v>372</v>
      </c>
      <c r="J173" s="284" t="e">
        <f>+J78+J83+J88+J93+J98+J103+J108+J113+J118+J123+J128+J134+J139+J145+J150+J155+J160+J165</f>
        <v>#VALUE!</v>
      </c>
      <c r="K173" s="122"/>
    </row>
    <row r="174" spans="1:12" x14ac:dyDescent="0.25">
      <c r="A174" s="147" t="s">
        <v>542</v>
      </c>
      <c r="B174" s="122" t="s">
        <v>390</v>
      </c>
      <c r="C174" s="122"/>
      <c r="D174" s="122"/>
      <c r="E174" s="122"/>
      <c r="F174" s="122"/>
      <c r="G174" s="122"/>
      <c r="H174" s="122"/>
      <c r="I174" s="122" t="s">
        <v>374</v>
      </c>
      <c r="J174" s="284" t="e">
        <f>+J79+J84+J89+J94+J99+J104+J109+J114+J119+J124+J129+J135+J140+J146+J151+J156+J161+J166</f>
        <v>#VALUE!</v>
      </c>
      <c r="K174" s="122"/>
    </row>
    <row r="175" spans="1:12" x14ac:dyDescent="0.25">
      <c r="A175" s="147" t="s">
        <v>542</v>
      </c>
      <c r="B175" s="122" t="s">
        <v>390</v>
      </c>
      <c r="C175" s="122"/>
      <c r="D175" s="122"/>
      <c r="E175" s="122"/>
      <c r="F175" s="122"/>
      <c r="G175" s="122"/>
      <c r="H175" s="122"/>
      <c r="I175" s="122" t="s">
        <v>373</v>
      </c>
      <c r="J175" s="284" t="e">
        <f>+J80+J85+J90+J95+J100+J105+J110+J115+J120+J125+J130+J136+J141+J147+J152+J157+J162+J167</f>
        <v>#VALUE!</v>
      </c>
      <c r="K175" s="122"/>
    </row>
    <row r="176" spans="1:12" x14ac:dyDescent="0.25">
      <c r="A176" s="147" t="s">
        <v>542</v>
      </c>
      <c r="B176" s="122" t="s">
        <v>390</v>
      </c>
      <c r="C176" s="122"/>
      <c r="D176" s="122"/>
      <c r="E176" s="122"/>
      <c r="F176" s="122"/>
      <c r="G176" s="122"/>
      <c r="H176" s="122"/>
      <c r="I176" s="122" t="s">
        <v>375</v>
      </c>
      <c r="J176" s="284" t="e">
        <f>+J81+J86+J91+J96+J101+J106+J111+J116+J121+J126+J131+J137+J142+J148+J153+J158+J163+J168</f>
        <v>#VALUE!</v>
      </c>
      <c r="K176" s="122"/>
    </row>
    <row r="177" spans="1:11" x14ac:dyDescent="0.25">
      <c r="A177" s="147" t="s">
        <v>542</v>
      </c>
      <c r="B177" s="122" t="s">
        <v>390</v>
      </c>
      <c r="C177" s="122"/>
      <c r="D177" s="122"/>
      <c r="E177" s="122"/>
      <c r="F177" s="122"/>
      <c r="G177" s="122"/>
      <c r="H177" s="122"/>
      <c r="I177" s="122" t="s">
        <v>376</v>
      </c>
      <c r="J177" s="284" t="e">
        <f>+J82+J87+J92+J97+J102+J107+J112+J117+J122+J127+J132+J138+J143+J149+J154+J159+J164+J169</f>
        <v>#VALUE!</v>
      </c>
      <c r="K177" s="122"/>
    </row>
    <row r="178" spans="1:11" x14ac:dyDescent="0.25">
      <c r="A178" s="147" t="s">
        <v>542</v>
      </c>
      <c r="B178" s="122" t="s">
        <v>390</v>
      </c>
      <c r="C178" s="122"/>
      <c r="D178" s="122"/>
      <c r="E178" s="122"/>
      <c r="F178" s="122"/>
      <c r="G178" s="122"/>
      <c r="H178" s="122"/>
      <c r="I178" s="122" t="s">
        <v>371</v>
      </c>
      <c r="J178" s="284" t="e">
        <f>SUM(J173:J177)</f>
        <v>#VALUE!</v>
      </c>
      <c r="K178" s="122"/>
    </row>
    <row r="179" spans="1:11" x14ac:dyDescent="0.25">
      <c r="A179" s="147" t="s">
        <v>544</v>
      </c>
    </row>
    <row r="180" spans="1:11" x14ac:dyDescent="0.25">
      <c r="A180" s="147" t="s">
        <v>544</v>
      </c>
    </row>
    <row r="181" spans="1:11" x14ac:dyDescent="0.25">
      <c r="A181" s="147" t="s">
        <v>544</v>
      </c>
    </row>
    <row r="182" spans="1:11" x14ac:dyDescent="0.25">
      <c r="A182" s="147" t="s">
        <v>544</v>
      </c>
    </row>
    <row r="183" spans="1:11" x14ac:dyDescent="0.25">
      <c r="A183" s="147" t="s">
        <v>544</v>
      </c>
    </row>
    <row r="184" spans="1:11" x14ac:dyDescent="0.25">
      <c r="A184" s="147" t="s">
        <v>544</v>
      </c>
    </row>
    <row r="185" spans="1:11" x14ac:dyDescent="0.25">
      <c r="A185" s="147" t="s">
        <v>544</v>
      </c>
    </row>
    <row r="186" spans="1:11" x14ac:dyDescent="0.25">
      <c r="A186" s="147" t="s">
        <v>544</v>
      </c>
    </row>
    <row r="187" spans="1:11" x14ac:dyDescent="0.25">
      <c r="A187" s="147" t="s">
        <v>544</v>
      </c>
    </row>
    <row r="188" spans="1:11" x14ac:dyDescent="0.25">
      <c r="A188" s="147" t="s">
        <v>544</v>
      </c>
    </row>
    <row r="189" spans="1:11" x14ac:dyDescent="0.25">
      <c r="A189" s="147" t="s">
        <v>544</v>
      </c>
    </row>
    <row r="190" spans="1:11" x14ac:dyDescent="0.25">
      <c r="A190" s="147" t="s">
        <v>544</v>
      </c>
    </row>
    <row r="191" spans="1:11" x14ac:dyDescent="0.25">
      <c r="A191" s="147" t="s">
        <v>544</v>
      </c>
    </row>
    <row r="192" spans="1:11" x14ac:dyDescent="0.25">
      <c r="A192" s="147" t="s">
        <v>544</v>
      </c>
    </row>
    <row r="193" spans="1:11" x14ac:dyDescent="0.25">
      <c r="A193" s="147" t="s">
        <v>544</v>
      </c>
    </row>
    <row r="194" spans="1:11" x14ac:dyDescent="0.25">
      <c r="A194" s="147" t="s">
        <v>544</v>
      </c>
    </row>
    <row r="195" spans="1:11" x14ac:dyDescent="0.25">
      <c r="A195" s="147" t="s">
        <v>544</v>
      </c>
    </row>
    <row r="196" spans="1:11" x14ac:dyDescent="0.25">
      <c r="A196" s="147" t="s">
        <v>544</v>
      </c>
    </row>
    <row r="197" spans="1:11" x14ac:dyDescent="0.25">
      <c r="A197" s="147" t="s">
        <v>544</v>
      </c>
    </row>
    <row r="198" spans="1:11" x14ac:dyDescent="0.25">
      <c r="A198" s="147" t="s">
        <v>544</v>
      </c>
    </row>
    <row r="199" spans="1:11" x14ac:dyDescent="0.25">
      <c r="G199" s="82">
        <f>SUM(G80:G103)</f>
        <v>0</v>
      </c>
      <c r="I199" s="48" t="s">
        <v>371</v>
      </c>
      <c r="J199" s="50" t="e">
        <f>SUM(J78:J103)</f>
        <v>#VALUE!</v>
      </c>
      <c r="K199" s="50">
        <f>SUM(K78:K103)</f>
        <v>0</v>
      </c>
    </row>
  </sheetData>
  <sheetProtection algorithmName="SHA-512" hashValue="fq6018oWP/DpwCKY+8WAT9Hu3ZRxqPG9hrYLiS0zYgJwlmSYoorMXME8SoPUKahk/an2IYjzgsLybxV6OmvnMQ==" saltValue="4fk+YcMWuN1j5U9yqIiDpw==" spinCount="100000" sheet="1" objects="1" scenarios="1" selectLockedCells="1"/>
  <mergeCells count="135">
    <mergeCell ref="G160:G164"/>
    <mergeCell ref="K160:K164"/>
    <mergeCell ref="B165:B169"/>
    <mergeCell ref="C165:C169"/>
    <mergeCell ref="D165:D169"/>
    <mergeCell ref="E165:E169"/>
    <mergeCell ref="F165:F169"/>
    <mergeCell ref="G165:G169"/>
    <mergeCell ref="K165:K169"/>
    <mergeCell ref="B160:B164"/>
    <mergeCell ref="C160:C164"/>
    <mergeCell ref="D160:D164"/>
    <mergeCell ref="E160:E164"/>
    <mergeCell ref="F160:F164"/>
    <mergeCell ref="G150:G154"/>
    <mergeCell ref="K150:K154"/>
    <mergeCell ref="B155:B159"/>
    <mergeCell ref="C155:C159"/>
    <mergeCell ref="D155:D159"/>
    <mergeCell ref="E155:E159"/>
    <mergeCell ref="F155:F159"/>
    <mergeCell ref="G155:G159"/>
    <mergeCell ref="K155:K159"/>
    <mergeCell ref="B150:B154"/>
    <mergeCell ref="C150:C154"/>
    <mergeCell ref="D150:D154"/>
    <mergeCell ref="E150:E154"/>
    <mergeCell ref="F150:F154"/>
    <mergeCell ref="G139:G143"/>
    <mergeCell ref="K139:K143"/>
    <mergeCell ref="B145:B149"/>
    <mergeCell ref="C145:C149"/>
    <mergeCell ref="D145:D149"/>
    <mergeCell ref="E145:E149"/>
    <mergeCell ref="F145:F149"/>
    <mergeCell ref="G145:G149"/>
    <mergeCell ref="K145:K149"/>
    <mergeCell ref="B139:B143"/>
    <mergeCell ref="C139:C143"/>
    <mergeCell ref="D139:D143"/>
    <mergeCell ref="E139:E143"/>
    <mergeCell ref="F139:F143"/>
    <mergeCell ref="G128:G132"/>
    <mergeCell ref="K128:K132"/>
    <mergeCell ref="B134:B138"/>
    <mergeCell ref="C134:C138"/>
    <mergeCell ref="D134:D138"/>
    <mergeCell ref="E134:E138"/>
    <mergeCell ref="F134:F138"/>
    <mergeCell ref="G134:G138"/>
    <mergeCell ref="K134:K138"/>
    <mergeCell ref="B128:B132"/>
    <mergeCell ref="C128:C132"/>
    <mergeCell ref="D128:D132"/>
    <mergeCell ref="E128:E132"/>
    <mergeCell ref="F128:F132"/>
    <mergeCell ref="G118:G122"/>
    <mergeCell ref="K118:K122"/>
    <mergeCell ref="B123:B127"/>
    <mergeCell ref="C123:C127"/>
    <mergeCell ref="D123:D127"/>
    <mergeCell ref="E123:E127"/>
    <mergeCell ref="F123:F127"/>
    <mergeCell ref="G123:G127"/>
    <mergeCell ref="K123:K127"/>
    <mergeCell ref="B118:B122"/>
    <mergeCell ref="C118:C122"/>
    <mergeCell ref="D118:D122"/>
    <mergeCell ref="E118:E122"/>
    <mergeCell ref="F118:F122"/>
    <mergeCell ref="G108:G112"/>
    <mergeCell ref="K108:K112"/>
    <mergeCell ref="B113:B117"/>
    <mergeCell ref="C113:C117"/>
    <mergeCell ref="D113:D117"/>
    <mergeCell ref="E113:E117"/>
    <mergeCell ref="F113:F117"/>
    <mergeCell ref="G113:G117"/>
    <mergeCell ref="K113:K117"/>
    <mergeCell ref="B108:B112"/>
    <mergeCell ref="C108:C112"/>
    <mergeCell ref="D108:D112"/>
    <mergeCell ref="E108:E112"/>
    <mergeCell ref="F108:F112"/>
    <mergeCell ref="G98:G102"/>
    <mergeCell ref="K98:K102"/>
    <mergeCell ref="B103:B107"/>
    <mergeCell ref="C103:C107"/>
    <mergeCell ref="D103:D107"/>
    <mergeCell ref="E103:E107"/>
    <mergeCell ref="F103:F107"/>
    <mergeCell ref="G103:G107"/>
    <mergeCell ref="K103:K107"/>
    <mergeCell ref="B98:B102"/>
    <mergeCell ref="C98:C102"/>
    <mergeCell ref="D98:D102"/>
    <mergeCell ref="E98:E102"/>
    <mergeCell ref="F98:F102"/>
    <mergeCell ref="B93:B97"/>
    <mergeCell ref="C93:C97"/>
    <mergeCell ref="D93:D97"/>
    <mergeCell ref="E93:E97"/>
    <mergeCell ref="F93:F97"/>
    <mergeCell ref="G93:G97"/>
    <mergeCell ref="K93:K97"/>
    <mergeCell ref="B88:B92"/>
    <mergeCell ref="C88:C92"/>
    <mergeCell ref="D88:D92"/>
    <mergeCell ref="E88:E92"/>
    <mergeCell ref="F88:F92"/>
    <mergeCell ref="B83:B87"/>
    <mergeCell ref="C83:C87"/>
    <mergeCell ref="D83:D87"/>
    <mergeCell ref="E83:E87"/>
    <mergeCell ref="F83:F87"/>
    <mergeCell ref="G83:G87"/>
    <mergeCell ref="K83:K87"/>
    <mergeCell ref="G88:G92"/>
    <mergeCell ref="K88:K92"/>
    <mergeCell ref="C17:F17"/>
    <mergeCell ref="B78:B82"/>
    <mergeCell ref="C78:C82"/>
    <mergeCell ref="D78:D82"/>
    <mergeCell ref="E78:E82"/>
    <mergeCell ref="F78:F82"/>
    <mergeCell ref="B2:K2"/>
    <mergeCell ref="B8:G8"/>
    <mergeCell ref="C12:F12"/>
    <mergeCell ref="C13:F13"/>
    <mergeCell ref="C14:F14"/>
    <mergeCell ref="C15:F15"/>
    <mergeCell ref="C16:F16"/>
    <mergeCell ref="D20:G20"/>
    <mergeCell ref="G78:G82"/>
    <mergeCell ref="K78:K82"/>
  </mergeCells>
  <conditionalFormatting sqref="G18">
    <cfRule type="expression" dxfId="164" priority="14">
      <formula>$H$37&lt;0</formula>
    </cfRule>
  </conditionalFormatting>
  <conditionalFormatting sqref="H29 H31 H33 H35">
    <cfRule type="expression" dxfId="163" priority="15">
      <formula>$H$37&lt;0</formula>
    </cfRule>
    <cfRule type="expression" dxfId="162" priority="16">
      <formula>$H$37&gt;0</formula>
    </cfRule>
  </conditionalFormatting>
  <conditionalFormatting sqref="J66 N66 J29:N50 J52:N55 J57:N65">
    <cfRule type="expression" dxfId="161" priority="13">
      <formula>"""ok"""</formula>
    </cfRule>
  </conditionalFormatting>
  <conditionalFormatting sqref="H41 H43 H45">
    <cfRule type="expression" dxfId="160" priority="11">
      <formula>$H$37&lt;0</formula>
    </cfRule>
    <cfRule type="expression" dxfId="159" priority="12">
      <formula>$H$37&gt;0</formula>
    </cfRule>
  </conditionalFormatting>
  <conditionalFormatting sqref="H49 H52 H54 H57">
    <cfRule type="expression" dxfId="158" priority="9">
      <formula>$H$37&lt;0</formula>
    </cfRule>
    <cfRule type="expression" dxfId="157" priority="10">
      <formula>$H$37&gt;0</formula>
    </cfRule>
  </conditionalFormatting>
  <conditionalFormatting sqref="H61 H63 H65">
    <cfRule type="expression" dxfId="156" priority="7">
      <formula>$H$37&lt;0</formula>
    </cfRule>
    <cfRule type="expression" dxfId="155" priority="8">
      <formula>$H$37&gt;0</formula>
    </cfRule>
  </conditionalFormatting>
  <conditionalFormatting sqref="H47">
    <cfRule type="expression" dxfId="154" priority="5">
      <formula>$H$37&lt;0</formula>
    </cfRule>
    <cfRule type="expression" dxfId="153" priority="6">
      <formula>$H$37&gt;0</formula>
    </cfRule>
  </conditionalFormatting>
  <conditionalFormatting sqref="H59">
    <cfRule type="expression" dxfId="152" priority="3">
      <formula>$H$37&lt;0</formula>
    </cfRule>
    <cfRule type="expression" dxfId="151" priority="4">
      <formula>$H$37&gt;0</formula>
    </cfRule>
  </conditionalFormatting>
  <conditionalFormatting sqref="H37">
    <cfRule type="expression" dxfId="150" priority="1">
      <formula>$H$37&lt;0</formula>
    </cfRule>
    <cfRule type="expression" dxfId="149" priority="2">
      <formula>$H$37&gt;0</formula>
    </cfRule>
  </conditionalFormatting>
  <printOptions horizontalCentered="1"/>
  <pageMargins left="0.51181102362204722" right="0.19685039370078741" top="0.55118110236220474" bottom="0.55118110236220474" header="0.11811023622047245" footer="0.11811023622047245"/>
  <pageSetup paperSize="9" scale="67" orientation="portrait" r:id="rId1"/>
  <ignoredErrors>
    <ignoredError sqref="C30:C65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AF794-9EE4-4166-9922-98A2D03FFC6D}">
  <sheetPr codeName="Hoja6">
    <pageSetUpPr fitToPage="1"/>
  </sheetPr>
  <dimension ref="A1:W180"/>
  <sheetViews>
    <sheetView showGridLines="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493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2 : CCAA Aragón, Navarra, La Rioja y el País Vasco.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oferta'!$B$18&amp;"T1_L02_cab"</f>
        <v>T1_L02_cab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oferta'!$B$18&amp;"T1_L02_DAB1"</f>
        <v>T1_L02_DAB1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decimales",IF(VLOOKUP(2,'RESUMEN LOTES'!B7:E15,4,FALSE)&lt;G18,"Importe ofertado supera max. € "&amp;VLOOKUP(2,'RESUMEN LOTES'!B7:E15,4,FALSE),IF(COUNTIFS($M$29:$M$67,"ok")&lt;&gt;15,"Debe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+IF(OR($G$18=0,LEN($G$18)=0),"¿?",IF(COUNTIFS($M$29:$M$67,"ok")&lt;&gt;15,"¿?",+IF(C13="Debe revisar Desglose 2 IMPORTE ofertado POR SEDE","¿?",+SUMIFS($J$79:$J$171,$H$79:$H$171,C13))))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oferta'!$B$18&amp;"T1_L02_DAB2"</f>
        <v>T1_L02_DAB2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decimales",IF(VLOOKUP(2,'RESUMEN LOTES'!B7:E15,4,FALSE)&lt;G18,"Importe ofertado supera max. € "&amp;VLOOKUP(2,'RESUMEN LOTES'!B7:E15,4,FALSE),IF(COUNTIFS($M$29:$M$67,"ok")&lt;&gt;15,"Debe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+IF(OR($G$18=0,LEN($G$18)=0),"¿?",IF(COUNTIFS($M$29:$M$67,"ok")&lt;&gt;15,"¿?",+IF(C14="Debe revisar Desglose 2 IMPORTE ofertado POR SEDE","¿?",+SUMIFS($J$79:$J$171,$H$79:$H$171,C14))))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oferta'!$B$18&amp;"T1_L02_DAB3"</f>
        <v>T1_L02_DAB3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decimales",IF(VLOOKUP(2,'RESUMEN LOTES'!B7:E15,4,FALSE)&lt;G18,"Importe ofertado supera max. € "&amp;VLOOKUP(2,'RESUMEN LOTES'!B7:E15,4,FALSE),IF(COUNTIFS($M$29:$M$67,"ok")&lt;&gt;15,"Debe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+IF(OR($G$18=0,LEN($G$18)=0),"¿?",IF(COUNTIFS($M$29:$M$67,"ok")&lt;&gt;15,"¿?",+IF(C15="Debe revisar Desglose 2 IMPORTE ofertado POR SEDE","¿?",+SUMIFS($J$79:$J$171,$H$79:$H$171,C15))))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oferta'!$B$18&amp;"T1_L02_DAB4"</f>
        <v>T1_L02_DAB4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decimales",IF(VLOOKUP(2,'RESUMEN LOTES'!B7:E15,4,FALSE)&lt;G18,"Importe ofertado supera max. € "&amp;VLOOKUP(2,'RESUMEN LOTES'!B7:E15,4,FALSE),IF(COUNTIFS($M$29:$M$67,"ok")&lt;&gt;15,"Debe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+IF(OR($G$18=0,LEN($G$18)=0),"¿?",IF(COUNTIFS($M$29:$M$67,"ok")&lt;&gt;15,"¿?",+IF(C16="Debe revisar Desglose 2 IMPORTE ofertado POR SEDE","¿?",+SUMIFS($J$79:$J$171,$H$79:$H$171,C16))))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oferta'!$B$18&amp;"T1_L02_DAB5"</f>
        <v>T1_L02_DAB5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decimales",IF(VLOOKUP(2,'RESUMEN LOTES'!B7:E15,4,FALSE)&lt;G18,"Importe ofertado supera max. € "&amp;VLOOKUP(2,'RESUMEN LOTES'!B7:E15,4,FALSE),IF(COUNTIFS($M$29:$M$67,"ok")&lt;&gt;15,"Debe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+IF(OR($G$18=0,LEN($G$18)=0),"¿?",IF(COUNTIFS($M$29:$M$67,"ok")&lt;&gt;15,"¿?",+IF(C17="Debe revisar Desglose 2 IMPORTE ofertado POR SEDE","¿?",+SUMIFS($J$79:$J$171,$H$79:$H$171,"Registro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oferta'!$B$18&amp;"T1_L02_TOT"</f>
        <v>T1_L02_TOT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oferta'!$B$18&amp;"T2_L02_cab0a"</f>
        <v>T2_L02_cab0a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oferta'!$B$18&amp;"T2_L02_cab0b"</f>
        <v>T2_L02_cab0b</v>
      </c>
      <c r="B27" s="163" t="s">
        <v>127</v>
      </c>
      <c r="C27" s="164" t="s">
        <v>362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oferta'!$B$18&amp;"T2_L02_cab1(CA)"</f>
        <v>T2_L02_cab1(CA)</v>
      </c>
      <c r="B28" s="170" t="s">
        <v>390</v>
      </c>
      <c r="C28" s="171" t="s">
        <v>494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21.95" customHeight="1" thickBot="1" x14ac:dyDescent="0.3">
      <c r="A29" s="147" t="str">
        <f>+'Anx I pg 1 oferta'!$B$18&amp;"T2_L02_inst_"&amp;B29</f>
        <v>T2_L02_inst_L02-01</v>
      </c>
      <c r="B29" s="176" t="s">
        <v>129</v>
      </c>
      <c r="C29" s="177" t="str">
        <f>+VLOOKUP(B29,'DATOS CENTROS'!B:F,4,FALSE)</f>
        <v>C.E. FM y OM LA MUELA (TERUEL)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7.6999999999999999E-2</v>
      </c>
      <c r="G29" s="181" t="str">
        <f>+IF(OR($G$18=0,LEN($G$18)=0),"",+ROUND(((H29)/$G$18),6))</f>
        <v/>
      </c>
      <c r="H29" s="217"/>
      <c r="J29" s="183"/>
      <c r="K29" s="183"/>
      <c r="L29" s="183"/>
      <c r="M29" s="277" t="str">
        <f>+IFERROR(IF(N29&lt;&gt;TRUNC(N29,2),".+ de 2 decim.",IF(COUNTA($H$29:$H$67)&lt;15,15-COUNTA($H$29:$H$67)&amp;" Items ptes.ofertar ",IF(AND($G$18&gt;0,$H$56&gt;0,(N29)/(N29)=1),"ok","mal"))),"¿max.min.ofertado?")</f>
        <v>¿max.min.ofertado?</v>
      </c>
      <c r="N29" s="183" t="str">
        <f>+IF(OR($G$18=0,LEN($G$18)=0),"",IF(OR($G$18&lt;0,+$G$18/$G$18&lt;&gt;1),"Total oferta Lote incorrecto (no numérico o negativo)",IF(AND($G$18&gt;0,$H$56&gt;0,H29&lt;=0),"¿importe ofertado?",IF(AND($G$18&gt;0,$H$56&lt;0),"acum.of.oferta sede &gt;oferta lote",IF(AND($G$18&gt;0,$H$56&lt;&gt;0,H29&lt;VLOOKUP(B29,'% admitidos'!A:M,11,FALSE)),+"min."&amp;VLOOKUP(B29,'% admitidos'!A:M,11,FALSE),IF(AND($G$18&gt;0,$H$56&gt;0,H29&gt;VLOOKUP(B29,'%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2" customHeight="1" thickBot="1" x14ac:dyDescent="0.3">
      <c r="A30" s="147" t="s">
        <v>542</v>
      </c>
      <c r="B30" s="236" t="s">
        <v>390</v>
      </c>
      <c r="C30" s="6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61"/>
      <c r="E30" s="61"/>
      <c r="F30" s="67"/>
      <c r="G30" s="68"/>
      <c r="H30" s="123"/>
      <c r="J30" s="126"/>
      <c r="K30" s="126"/>
      <c r="L30" s="126"/>
      <c r="M30" s="279"/>
      <c r="N30" s="126"/>
    </row>
    <row r="31" spans="1:23" ht="21.95" customHeight="1" thickBot="1" x14ac:dyDescent="0.3">
      <c r="A31" s="147" t="str">
        <f>+'Anx I pg 1 oferta'!$B$18&amp;"T2_L02_inst_"&amp;B31</f>
        <v>T2_L02_inst_L02-02</v>
      </c>
      <c r="B31" s="176" t="s">
        <v>131</v>
      </c>
      <c r="C31" s="177" t="str">
        <f>+VLOOKUP(B31,'DATOS CENTROS'!B:F,4,FALSE)</f>
        <v>C.E. FM y OM TORRERO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0.113</v>
      </c>
      <c r="G31" s="181" t="str">
        <f>+IF(OR($G$18=0,LEN($G$18)=0),"",+ROUND(((H31)/$G$18),6))</f>
        <v/>
      </c>
      <c r="H31" s="217"/>
      <c r="J31" s="183"/>
      <c r="K31" s="183"/>
      <c r="L31" s="183"/>
      <c r="M31" s="277" t="str">
        <f>+IFERROR(IF(N31&lt;&gt;TRUNC(N31,2),".+ de 2 decim.",IF(COUNTA($H$29:$H$67)&lt;15,15-COUNTA($H$29:$H$67)&amp;" Items ptes.ofertar ",IF(AND($G$18&gt;0,$H$56&gt;0,(N31)/(N31)=1),"ok","mal"))),"¿max.min.ofertado?")</f>
        <v>¿max.min.ofertado?</v>
      </c>
      <c r="N31" s="183" t="str">
        <f>+IF(OR($G$18=0,LEN($G$18)=0),"",IF(OR($G$18&lt;0,+$G$18/$G$18&lt;&gt;1),"Total oferta Lote incorrecto (no numérico o negativo)",IF(AND($G$18&gt;0,$H$56&gt;0,H31&lt;=0),"¿importe ofertado?",IF(AND($G$18&gt;0,$H$56&lt;0),"acum.of.oferta sede &gt;oferta lote",IF(AND($G$18&gt;0,$H$56&gt;0,H31&lt;VLOOKUP(B31,'% admitidos'!A:M,11,FALSE)),+"min."&amp;VLOOKUP(B31,'% admitidos'!A:M,11,FALSE),IF(AND($G$18&gt;0,$H$56&gt;0,H31&gt;VLOOKUP(B31,'% admitidos'!A:M,13,FALSE)),+"max."&amp;VLOOKUP(B31,'% admitidos'!A:M,13,FALSE),+H31))))))</f>
        <v/>
      </c>
    </row>
    <row r="32" spans="1:23" ht="12" customHeight="1" thickTop="1" thickBot="1" x14ac:dyDescent="0.3">
      <c r="A32" s="147" t="s">
        <v>542</v>
      </c>
      <c r="B32" s="237" t="s">
        <v>390</v>
      </c>
      <c r="C32" s="134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135"/>
      <c r="E32" s="135"/>
      <c r="F32" s="136"/>
      <c r="G32" s="137"/>
      <c r="H32" s="138"/>
      <c r="J32" s="126"/>
      <c r="K32" s="126"/>
      <c r="L32" s="126"/>
      <c r="M32" s="279"/>
      <c r="N32" s="126"/>
    </row>
    <row r="33" spans="1:23" ht="21.95" customHeight="1" thickBot="1" x14ac:dyDescent="0.3">
      <c r="A33" s="147" t="str">
        <f>+'Anx I pg 1 oferta'!$B$18&amp;"T2_L02_inst_"&amp;B33</f>
        <v>T2_L02_inst_L02-03</v>
      </c>
      <c r="B33" s="176" t="s">
        <v>133</v>
      </c>
      <c r="C33" s="177" t="str">
        <f>+VLOOKUP(B33,'DATOS CENTROS'!B:F,4,FALSE)</f>
        <v>C.T. RTVE Aragón (Zaragoza)</v>
      </c>
      <c r="D33" s="178"/>
      <c r="E33" s="179" t="str">
        <f>+VLOOKUP(B33,'DATOS CENTROS'!B:F,3,FALSE)</f>
        <v xml:space="preserve"> A + C</v>
      </c>
      <c r="F33" s="180">
        <f>+VLOOKUP(B33,'DATOS CENTROS'!B:F,5,FALSE)</f>
        <v>0.13</v>
      </c>
      <c r="G33" s="181" t="str">
        <f>+IF(OR($G$18=0,LEN($G$18)=0),"",+ROUND(((H33)/$G$18),6))</f>
        <v/>
      </c>
      <c r="H33" s="218"/>
      <c r="J33" s="183"/>
      <c r="K33" s="183"/>
      <c r="L33" s="183"/>
      <c r="M33" s="277" t="str">
        <f>+IFERROR(IF(N33&lt;&gt;TRUNC(N33,2),".+ de 2 decim.",IF(COUNTA($H$29:$H$67)&lt;15,15-COUNTA($H$29:$H$67)&amp;" Items ptes.ofertar ",IF(AND($G$18&gt;0,$H$56&gt;0,(N33)/(N33)=1),"ok","mal"))),"¿max.min.ofertado?")</f>
        <v>¿max.min.ofertado?</v>
      </c>
      <c r="N33" s="183" t="str">
        <f>+IF(OR($G$18=0,LEN($G$18)=0),"",IF(OR($G$18&lt;0,+$G$18/$G$18&lt;&gt;1),"Total oferta Lote incorrecto (no numérico o negativo)",IF(AND($G$18&gt;0,$H$56&gt;0,H33&lt;=0),"¿importe ofertado?",IF(AND($G$18&gt;0,$H$56&lt;0),"acum.of.oferta sede &gt;oferta lote",IF(AND($G$18&gt;0,$H$56&gt;0,H33&lt;VLOOKUP(B33,'% admitidos'!A:M,11,FALSE)),+"min."&amp;VLOOKUP(B33,'% admitidos'!A:M,11,FALSE),IF(AND($G$18&gt;0,$H$56&gt;0,H33&gt;VLOOKUP(B33,'% admitidos'!A:M,13,FALSE)),+"max."&amp;VLOOKUP(B33,'% admitidos'!A:M,13,FALSE),+H33))))))</f>
        <v/>
      </c>
    </row>
    <row r="34" spans="1:23" ht="12" customHeight="1" thickTop="1" thickBot="1" x14ac:dyDescent="0.3">
      <c r="A34" s="147" t="s">
        <v>542</v>
      </c>
      <c r="B34" s="236" t="s">
        <v>390</v>
      </c>
      <c r="C34" s="24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61"/>
      <c r="E34" s="61"/>
      <c r="F34" s="67"/>
      <c r="G34" s="67"/>
      <c r="H34" s="123"/>
      <c r="J34" s="126"/>
      <c r="K34" s="126"/>
      <c r="L34" s="126"/>
      <c r="M34" s="279"/>
      <c r="N34" s="126"/>
    </row>
    <row r="35" spans="1:23" ht="21.95" customHeight="1" thickBot="1" x14ac:dyDescent="0.3">
      <c r="A35" s="147" t="str">
        <f>+'Anx I pg 1 oferta'!$B$18&amp;"T2_L02_inst_"&amp;B35</f>
        <v>T2_L02_inst_L02-04</v>
      </c>
      <c r="B35" s="186" t="s">
        <v>135</v>
      </c>
      <c r="C35" s="187" t="str">
        <f>+VLOOKUP(B35,'DATOS CENTROS'!B:F,4,FALSE)</f>
        <v>S.U. Zaragoza</v>
      </c>
      <c r="D35" s="188"/>
      <c r="E35" s="189" t="str">
        <f>+VLOOKUP(B35,'DATOS CENTROS'!B:F,3,FALSE)</f>
        <v>C</v>
      </c>
      <c r="F35" s="180">
        <f>+VLOOKUP(B35,'DATOS CENTROS'!B:F,5,FALSE)</f>
        <v>3.5000000000000003E-2</v>
      </c>
      <c r="G35" s="190" t="str">
        <f>+IF(OR($G$18=0,LEN($G$18)=0),"",+ROUND(((H35)/$G$18),6))</f>
        <v/>
      </c>
      <c r="H35" s="218"/>
      <c r="J35" s="183"/>
      <c r="K35" s="183"/>
      <c r="L35" s="183"/>
      <c r="M35" s="277" t="str">
        <f>+IFERROR(IF(N35&lt;&gt;TRUNC(N35,2),".+ de 2 decim.",IF(COUNTA($H$29:$H$67)&lt;15,15-COUNTA($H$29:$H$67)&amp;" Items ptes.ofertar ",IF(AND($G$18&gt;0,$H$56&gt;0,(N35)/(N35)=1),"ok","mal"))),"¿max.min.ofertado?")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negativo)",IF(AND($G$18&gt;0,$H$56&gt;0,H35&lt;=0),"¿importe ofertado?",IF(AND($G$18&gt;0,$H$56&lt;0),"acum.of.oferta sede &gt;oferta lote",IF(AND($G$18&gt;0,$H$56&gt;0,H35&lt;VLOOKUP(B35,'% admitidos'!A:M,11,FALSE)),+"min."&amp;VLOOKUP(B35,'% admitidos'!A:M,11,FALSE),IF(AND($G$18&gt;0,$H$56&gt;0,H35&gt;VLOOKUP(B35,'% admitidos'!A:M,13,FALSE)),+"max."&amp;VLOOKUP(B35,'% admitidos'!A:M,13,FALSE),+H35))))))</f>
        <v/>
      </c>
    </row>
    <row r="36" spans="1:23" ht="12" customHeight="1" thickTop="1" thickBot="1" x14ac:dyDescent="0.3">
      <c r="A36" s="147" t="s">
        <v>542</v>
      </c>
      <c r="B36" s="152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135"/>
      <c r="G36" s="69"/>
      <c r="H36" s="71"/>
      <c r="J36" s="126"/>
      <c r="K36" s="126"/>
      <c r="L36" s="126"/>
      <c r="M36" s="279"/>
      <c r="N36" s="126"/>
    </row>
    <row r="37" spans="1:23" ht="21.95" customHeight="1" thickBot="1" x14ac:dyDescent="0.3">
      <c r="A37" s="147" t="str">
        <f>+'Anx I pg 1 oferta'!$B$18&amp;"T2_L02_inst_"&amp;B37</f>
        <v>T2_L02_inst_L02-05</v>
      </c>
      <c r="B37" s="176" t="s">
        <v>137</v>
      </c>
      <c r="C37" s="177" t="str">
        <f>+VLOOKUP(B37,'DATOS CENTROS'!B:F,4,FALSE)</f>
        <v>U.I. RTVE Huesca</v>
      </c>
      <c r="D37" s="178"/>
      <c r="E37" s="179" t="str">
        <f>+VLOOKUP(B37,'DATOS CENTROS'!B:F,3,FALSE)</f>
        <v>C</v>
      </c>
      <c r="F37" s="180">
        <f>+VLOOKUP(B37,'DATOS CENTROS'!B:F,5,FALSE)</f>
        <v>2.5000000000000001E-2</v>
      </c>
      <c r="G37" s="181" t="str">
        <f>+IF(OR($G$18=0,LEN($G$18)=0),"",+ROUND(((H37)/$G$18),6))</f>
        <v/>
      </c>
      <c r="H37" s="217"/>
      <c r="J37" s="183"/>
      <c r="K37" s="183"/>
      <c r="L37" s="183"/>
      <c r="M37" s="277" t="str">
        <f>+IFERROR(IF(N37&lt;&gt;TRUNC(N37,2),".+ de 2 decim.",IF(COUNTA($H$29:$H$67)&lt;15,15-COUNTA($H$29:$H$67)&amp;" Items ptes.ofertar ",IF(AND($G$18&gt;0,$H$56&gt;0,(N37)/(N37)=1),"ok","mal"))),"¿max.min.ofertado?")</f>
        <v>¿max.min.ofertado?</v>
      </c>
      <c r="N37" s="183" t="str">
        <f>+IF(OR($G$18=0,LEN($G$18)=0),"",IF(OR($G$18&lt;0,+$G$18/$G$18&lt;&gt;1),"Total oferta Lote incorrecto (no numérico o negativo)",IF(AND($G$18&gt;0,$H$56&gt;0,H37&lt;=0),"¿importe ofertado?",IF(AND($G$18&gt;0,$H$56&lt;0),"acum.of.oferta sede &gt;oferta lote",IF(AND($G$18&gt;0,$H$56&gt;0,H37&lt;VLOOKUP(B37,'% admitidos'!A:M,11,FALSE)),+"min."&amp;VLOOKUP(B37,'% admitidos'!A:M,11,FALSE),IF(AND($G$18&gt;0,$H$56&gt;0,H37&gt;VLOOKUP(B37,'% admitidos'!A:M,13,FALSE)),+"max."&amp;+ROUND(VLOOKUP(B37,'% admitidos'!A:M,13,FALSE),4),+H37))))))</f>
        <v/>
      </c>
    </row>
    <row r="38" spans="1:23" ht="12" customHeight="1" thickTop="1" thickBot="1" x14ac:dyDescent="0.3">
      <c r="A38" s="147" t="s">
        <v>542</v>
      </c>
      <c r="B38" s="237" t="s">
        <v>390</v>
      </c>
      <c r="C38" s="248" t="str">
        <f>+IF(LEN('Anx I pg 1 oferta'!$C$56)&gt;0,"","min. "&amp;VLOOKUP(B37,'% admitidos'!A:M,11,FALSE)&amp;" - med.  "&amp;VLOOKUP(B37,'% admitidos'!A:M,12,FALSE)&amp;" - max.  "&amp;+ROUND(VLOOKUP(B37,'% admitidos'!A:M,13,FALSE),6))</f>
        <v>min. 0 - med.  0 - max.  0</v>
      </c>
      <c r="D38" s="135"/>
      <c r="E38" s="135"/>
      <c r="F38" s="135"/>
      <c r="G38" s="135"/>
      <c r="H38" s="144"/>
      <c r="J38" s="107"/>
      <c r="K38" s="107"/>
      <c r="L38" s="107"/>
      <c r="M38" s="279"/>
      <c r="N38" s="107"/>
    </row>
    <row r="39" spans="1:23" ht="21.95" customHeight="1" thickBot="1" x14ac:dyDescent="0.3">
      <c r="A39" s="147" t="str">
        <f>+'Anx I pg 1 oferta'!$B$18&amp;"T2_L02_inst_"&amp;B39</f>
        <v>T2_L02_inst_L02-06</v>
      </c>
      <c r="B39" s="176" t="s">
        <v>139</v>
      </c>
      <c r="C39" s="177" t="str">
        <f>+VLOOKUP(B39,'DATOS CENTROS'!B:F,4,FALSE)</f>
        <v>U.I. RTVE Teruel</v>
      </c>
      <c r="D39" s="178"/>
      <c r="E39" s="179" t="str">
        <f>+VLOOKUP(B39,'DATOS CENTROS'!B:F,3,FALSE)</f>
        <v>C</v>
      </c>
      <c r="F39" s="180">
        <f>+VLOOKUP(B39,'DATOS CENTROS'!B:F,5,FALSE)</f>
        <v>2.1000000000000001E-2</v>
      </c>
      <c r="G39" s="181" t="str">
        <f>+IF(OR($G$18=0,LEN($G$18)=0),"",+ROUND(((H39)/$G$18),6))</f>
        <v/>
      </c>
      <c r="H39" s="217"/>
      <c r="J39" s="183"/>
      <c r="K39" s="183"/>
      <c r="L39" s="183"/>
      <c r="M39" s="277" t="str">
        <f>+IFERROR(IF(N39&lt;&gt;TRUNC(N39,2),".+ de 2 decim.",IF(COUNTA($H$29:$H$67)&lt;15,15-COUNTA($H$29:$H$67)&amp;" Items ptes.ofertar ",IF(AND($G$18&gt;0,$H$56&gt;0,(N39)/(N39)=1),"ok","mal"))),"¿max.min.ofertado?")</f>
        <v>¿max.min.ofertado?</v>
      </c>
      <c r="N39" s="183" t="str">
        <f>+IF(OR($G$18=0,LEN($G$18)=0),"",IF(OR($G$18&lt;0,+$G$18/$G$18&lt;&gt;1),"Total oferta Lote incorrecto (no numérico o negativo)",IF(AND($G$18&gt;0,$H$56&gt;0,H39&lt;=0),"¿importe ofertado?",IF(AND($G$18&gt;0,$H$56&lt;0),"acum.of.oferta sede &gt;oferta lote",IF(AND($G$18&gt;0,$H$56&gt;0,H39&lt;VLOOKUP(B39,'% admitidos'!A:M,11,FALSE)),+"min."&amp;VLOOKUP(B39,'% admitidos'!A:M,11,FALSE),IF(AND($G$18&gt;0,$H$56&gt;0,H39&gt;VLOOKUP(B39,'% admitidos'!A:M,13,FALSE)),+"max."&amp;VLOOKUP(B39,'% admitidos'!A:M,13,FALSE),+H39))))))</f>
        <v/>
      </c>
      <c r="Q39" s="101"/>
      <c r="R39" s="101"/>
      <c r="S39" s="101"/>
      <c r="T39" s="101"/>
      <c r="U39" s="101"/>
      <c r="V39" s="101"/>
      <c r="W39" s="101"/>
    </row>
    <row r="40" spans="1:23" ht="12" customHeight="1" thickBot="1" x14ac:dyDescent="0.3">
      <c r="A40" s="147" t="s">
        <v>542</v>
      </c>
      <c r="B40" s="236" t="s">
        <v>390</v>
      </c>
      <c r="C40" s="240" t="str">
        <f>+IF(LEN('Anx I pg 1 oferta'!$C$56)&gt;0,"","min.  "&amp;VLOOKUP(B39,'% admitidos'!A:M,11,FALSE)&amp;" - med.  "&amp;VLOOKUP(B39,'% admitidos'!A:M,12,FALSE)&amp;" - max. "&amp;VLOOKUP(B39,'% admitidos'!A:M,13,FALSE))</f>
        <v>min.  0 - med.  0 - max. 0</v>
      </c>
      <c r="D40" s="61"/>
      <c r="E40" s="61"/>
      <c r="F40" s="67"/>
      <c r="G40" s="68"/>
      <c r="H40" s="123"/>
      <c r="J40" s="126"/>
      <c r="K40" s="126"/>
      <c r="L40" s="126"/>
      <c r="M40" s="279"/>
      <c r="N40" s="126"/>
    </row>
    <row r="41" spans="1:23" ht="15.75" thickBot="1" x14ac:dyDescent="0.3">
      <c r="A41" s="147" t="str">
        <f>+'Anx I pg 1 oferta'!$B$18&amp;"T2_L02_cab2(CA)"</f>
        <v>T2_L02_cab2(CA)</v>
      </c>
      <c r="B41" s="170" t="s">
        <v>390</v>
      </c>
      <c r="C41" s="171" t="s">
        <v>141</v>
      </c>
      <c r="D41" s="172"/>
      <c r="E41" s="172"/>
      <c r="F41" s="173"/>
      <c r="G41" s="173"/>
      <c r="H41" s="174"/>
      <c r="M41" s="12"/>
    </row>
    <row r="42" spans="1:23" ht="21.95" customHeight="1" thickBot="1" x14ac:dyDescent="0.3">
      <c r="A42" s="147" t="str">
        <f>+'Anx I pg 1 oferta'!$B$18&amp;"T2_L02_inst_"&amp;B42</f>
        <v>T2_L02_inst_L02-07</v>
      </c>
      <c r="B42" s="176" t="s">
        <v>142</v>
      </c>
      <c r="C42" s="177" t="str">
        <f>+VLOOKUP(B42,'DATOS CENTROS'!B:F,4,FALSE)</f>
        <v>C.T. RTVE Pamplona</v>
      </c>
      <c r="D42" s="178"/>
      <c r="E42" s="179" t="str">
        <f>+VLOOKUP(B42,'DATOS CENTROS'!B:F,3,FALSE)</f>
        <v xml:space="preserve"> A + C</v>
      </c>
      <c r="F42" s="180">
        <f>+VLOOKUP(B42,'DATOS CENTROS'!B:F,5,FALSE)</f>
        <v>0.113</v>
      </c>
      <c r="G42" s="181" t="str">
        <f>+IF(OR($G$18=0,LEN($G$18)=0),"",+ROUND(((H42)/$G$18),6))</f>
        <v/>
      </c>
      <c r="H42" s="217"/>
      <c r="J42" s="183"/>
      <c r="K42" s="183"/>
      <c r="L42" s="183"/>
      <c r="M42" s="277" t="str">
        <f>+IFERROR(IF(N42&lt;&gt;TRUNC(N42,2),".+ de 2 decim.",IF(COUNTA($H$29:$H$67)&lt;15,15-COUNTA($H$29:$H$67)&amp;" Items ptes.ofertar ",IF(AND($G$18&gt;0,$H$56&gt;0,(N42)/(N42)=1),"ok","mal"))),"¿max.min.ofertado?")</f>
        <v>¿max.min.ofertado?</v>
      </c>
      <c r="N42" s="183" t="str">
        <f>+IF(OR($G$18=0,LEN($G$18)=0),"",IF(OR($G$18&lt;0,+$G$18/$G$18&lt;&gt;1),"Total oferta Lote incorrecto (no numérico o negativo)",IF(AND($G$18&gt;0,$H$56&gt;0,H42&lt;=0),"¿importe ofertado?",IF(AND($G$18&gt;0,$H$56&lt;0),"acum.of.oferta sede &gt;oferta lote",IF(AND($G$18&gt;0,$H$56&gt;0,H42&lt;VLOOKUP(B42,'% admitidos'!A:M,11,FALSE)),+"min."&amp;VLOOKUP(B42,'% admitidos'!A:M,11,FALSE),IF(AND($G$18&gt;0,$H$56&gt;0,H42&gt;VLOOKUP(B42,'% admitidos'!A:M,13,FALSE)),+"max."&amp;VLOOKUP(B42,'% admitidos'!A:M,13,FALSE),+H42))))))</f>
        <v/>
      </c>
    </row>
    <row r="43" spans="1:23" ht="12" customHeight="1" thickTop="1" thickBot="1" x14ac:dyDescent="0.3">
      <c r="A43" s="147" t="s">
        <v>542</v>
      </c>
      <c r="B43" s="237" t="s">
        <v>390</v>
      </c>
      <c r="C43" s="248" t="str">
        <f>+IF(LEN('Anx I pg 1 oferta'!$C$56)&gt;0,"","min. "&amp;VLOOKUP(B42,'% admitidos'!A:M,11,FALSE)&amp;" - med.  "&amp;VLOOKUP(B42,'% admitidos'!A:M,12,FALSE)&amp;" - max.  "&amp;VLOOKUP(B42,'% admitidos'!A:M,13,FALSE))</f>
        <v>min. 0 - med.  0 - max.  0</v>
      </c>
      <c r="D43" s="135"/>
      <c r="E43" s="135"/>
      <c r="F43" s="136"/>
      <c r="G43" s="137"/>
      <c r="H43" s="138"/>
      <c r="J43" s="126"/>
      <c r="K43" s="126"/>
      <c r="L43" s="126"/>
      <c r="M43" s="279"/>
      <c r="N43" s="126"/>
    </row>
    <row r="44" spans="1:23" ht="21.95" customHeight="1" thickBot="1" x14ac:dyDescent="0.3">
      <c r="A44" s="147" t="str">
        <f>+'Anx I pg 1 oferta'!$B$18&amp;"T2_L02_inst_"&amp;B44</f>
        <v>T2_L02_inst_L02-08</v>
      </c>
      <c r="B44" s="176" t="s">
        <v>144</v>
      </c>
      <c r="C44" s="177" t="str">
        <f>+VLOOKUP(B44,'DATOS CENTROS'!B:F,4,FALSE)</f>
        <v>S.U. Pamplona (Abejeras)</v>
      </c>
      <c r="D44" s="178"/>
      <c r="E44" s="179" t="str">
        <f>+VLOOKUP(B44,'DATOS CENTROS'!B:F,3,FALSE)</f>
        <v>C</v>
      </c>
      <c r="F44" s="180">
        <f>+VLOOKUP(B44,'DATOS CENTROS'!B:F,5,FALSE)</f>
        <v>1.7999999999999999E-2</v>
      </c>
      <c r="G44" s="181" t="str">
        <f>+IF(OR($G$18=0,LEN($G$18)=0),"",+ROUND(((H44)/$G$18),6))</f>
        <v/>
      </c>
      <c r="H44" s="217"/>
      <c r="J44" s="183"/>
      <c r="K44" s="183"/>
      <c r="L44" s="183"/>
      <c r="M44" s="277" t="str">
        <f>+IFERROR(IF(N44&lt;&gt;TRUNC(N44,2),".+ de 2 decim.",IF(COUNTA($H$29:$H$67)&lt;15,15-COUNTA($H$29:$H$67)&amp;" Items ptes.ofertar ",IF(AND($G$18&gt;0,$H$56&gt;0,(N44)/(N44)=1),"ok","mal"))),"¿max.min.ofertado?")</f>
        <v>¿max.min.ofertado?</v>
      </c>
      <c r="N44" s="183" t="str">
        <f>+IF(OR($G$18=0,LEN($G$18)=0),"",IF(OR($G$18&lt;0,+$G$18/$G$18&lt;&gt;1),"Total oferta Lote incorrecto (no numérico o negativo)",IF(AND($G$18&gt;0,$H$56&gt;0,H44&lt;=0),"¿importe ofertado?",IF(AND($G$18&gt;0,$H$56&lt;0),"acum.of.oferta sede &gt;oferta lote",IF(AND($G$18&gt;0,$H$56&gt;0,H44&lt;VLOOKUP(B44,'% admitidos'!A:M,11,FALSE)),+"min."&amp;VLOOKUP(B44,'% admitidos'!A:M,11,FALSE),IF(AND($G$18&gt;0,$H$56&gt;0,H44&gt;VLOOKUP(B44,'% admitidos'!A:M,13,FALSE)),+"max."&amp;VLOOKUP(B44,'% admitidos'!A:M,13,FALSE),+H44))))))</f>
        <v/>
      </c>
    </row>
    <row r="45" spans="1:23" ht="12" customHeight="1" thickBot="1" x14ac:dyDescent="0.3">
      <c r="A45" s="147" t="s">
        <v>542</v>
      </c>
      <c r="B45" s="236" t="s">
        <v>390</v>
      </c>
      <c r="C45" s="240" t="str">
        <f>+IF(LEN('Anx I pg 1 oferta'!$C$56)&gt;0,"","min. "&amp;VLOOKUP(B44,'% admitidos'!A:M,11,FALSE)&amp;" - med.  "&amp;VLOOKUP(B44,'% admitidos'!A:M,12,FALSE)&amp;" - max.  "&amp;VLOOKUP(B44,'% admitidos'!A:M,13,FALSE))</f>
        <v>min. 0 - med.  0 - max.  0</v>
      </c>
      <c r="D45" s="61"/>
      <c r="E45" s="61"/>
      <c r="F45" s="67"/>
      <c r="G45" s="67"/>
      <c r="H45" s="123"/>
      <c r="J45" s="126"/>
      <c r="K45" s="126"/>
      <c r="L45" s="126"/>
      <c r="M45" s="279"/>
      <c r="N45" s="126"/>
    </row>
    <row r="46" spans="1:23" ht="15.75" thickBot="1" x14ac:dyDescent="0.3">
      <c r="A46" s="147" t="str">
        <f>+'Anx I pg 1 oferta'!$B$18&amp;"T2_L02_cab3(CA)"</f>
        <v>T2_L02_cab3(CA)</v>
      </c>
      <c r="B46" s="170" t="s">
        <v>390</v>
      </c>
      <c r="C46" s="171" t="s">
        <v>146</v>
      </c>
      <c r="D46" s="172"/>
      <c r="E46" s="172"/>
      <c r="F46" s="173"/>
      <c r="G46" s="173"/>
      <c r="H46" s="174"/>
      <c r="M46" s="12"/>
    </row>
    <row r="47" spans="1:23" ht="21.95" customHeight="1" thickBot="1" x14ac:dyDescent="0.3">
      <c r="A47" s="147" t="str">
        <f>+'Anx I pg 1 oferta'!$B$18&amp;"T2_L02_inst_"&amp;B47</f>
        <v>T2_L02_inst_L02-09</v>
      </c>
      <c r="B47" s="176" t="s">
        <v>147</v>
      </c>
      <c r="C47" s="177" t="str">
        <f>+VLOOKUP(B47,'DATOS CENTROS'!B:F,4,FALSE)</f>
        <v>C.E. OM LA GRAJERA</v>
      </c>
      <c r="D47" s="178"/>
      <c r="E47" s="179" t="str">
        <f>+VLOOKUP(B47,'DATOS CENTROS'!B:F,3,FALSE)</f>
        <v xml:space="preserve"> A + C</v>
      </c>
      <c r="F47" s="180">
        <f>+VLOOKUP(B47,'DATOS CENTROS'!B:F,5,FALSE)</f>
        <v>0.13</v>
      </c>
      <c r="G47" s="181" t="str">
        <f>+IF(OR($G$18=0,LEN($G$18)=0),"",+ROUND(((H47)/$G$18),6))</f>
        <v/>
      </c>
      <c r="H47" s="217"/>
      <c r="J47" s="183"/>
      <c r="K47" s="183"/>
      <c r="L47" s="183"/>
      <c r="M47" s="277" t="str">
        <f>+IFERROR(IF(N47&lt;&gt;TRUNC(N47,2),".+ de 2 decim.",IF(COUNTA($H$29:$H$67)&lt;15,15-COUNTA($H$29:$H$67)&amp;" Items ptes.ofertar ",IF(AND($G$18&gt;0,$H$56&gt;0,(N47)/(N47)=1),"ok","mal"))),"¿max.min.ofertado?")</f>
        <v>¿max.min.ofertado?</v>
      </c>
      <c r="N47" s="183" t="str">
        <f>+IF(OR($G$18=0,LEN($G$18)=0),"",IF(OR($G$18&lt;0,+$G$18/$G$18&lt;&gt;1),"Total oferta Lote incorrecto (no numérico o negativo)",IF(AND($G$18&gt;0,$H$56&gt;0,H47&lt;=0),"¿importe ofertado?",IF(AND($G$18&gt;0,$H$56&lt;0),"acum.of.oferta sede &gt;oferta lote",IF(AND($G$18&gt;0,$H$56&gt;0,H47&lt;VLOOKUP(B47,'% admitidos'!A:M,11,FALSE)),+"min."&amp;VLOOKUP(B47,'% admitidos'!A:M,11,FALSE),IF(AND($G$18&gt;0,$H$56&gt;0,H47&gt;VLOOKUP(B47,'% admitidos'!A:M,13,FALSE)),+"max."&amp;VLOOKUP(B47,'% admitidos'!A:M,13,FALSE),+H47))))))</f>
        <v/>
      </c>
    </row>
    <row r="48" spans="1:23" ht="12" customHeight="1" thickBot="1" x14ac:dyDescent="0.3">
      <c r="A48" s="147" t="s">
        <v>542</v>
      </c>
      <c r="B48" s="236" t="s">
        <v>390</v>
      </c>
      <c r="C48" s="240" t="str">
        <f>+IF(LEN('Anx I pg 1 oferta'!$C$56)&gt;0,"","min. "&amp;VLOOKUP(B47,'% admitidos'!A:M,11,FALSE)&amp;" - med.  "&amp;VLOOKUP(B47,'% admitidos'!A:M,12,FALSE)&amp;" - max.  "&amp;VLOOKUP(B47,'% admitidos'!A:M,13,FALSE))</f>
        <v>min. 0 - med.  0 - max.  0</v>
      </c>
      <c r="D48" s="61"/>
      <c r="E48" s="61"/>
      <c r="F48" s="67"/>
      <c r="G48" s="67"/>
      <c r="H48" s="145"/>
      <c r="J48" s="126"/>
      <c r="K48" s="126"/>
      <c r="L48" s="126"/>
      <c r="M48" s="279"/>
      <c r="N48" s="126"/>
    </row>
    <row r="49" spans="1:23" ht="21.95" customHeight="1" thickBot="1" x14ac:dyDescent="0.3">
      <c r="A49" s="147" t="str">
        <f>+'Anx I pg 1 oferta'!$B$18&amp;"T2_L02_inst_"&amp;B49</f>
        <v>T2_L02_inst_L02-10</v>
      </c>
      <c r="B49" s="191" t="s">
        <v>149</v>
      </c>
      <c r="C49" s="192" t="str">
        <f>+VLOOKUP(B49,'DATOS CENTROS'!B:F,4,FALSE)</f>
        <v>C.E. MONCALVILLO</v>
      </c>
      <c r="D49" s="193"/>
      <c r="E49" s="194" t="str">
        <f>+VLOOKUP(B49,'DATOS CENTROS'!B:F,3,FALSE)</f>
        <v xml:space="preserve"> A + C</v>
      </c>
      <c r="F49" s="180">
        <f>+VLOOKUP(B49,'DATOS CENTROS'!B:F,5,FALSE)</f>
        <v>2.1000000000000001E-2</v>
      </c>
      <c r="G49" s="230" t="str">
        <f>+IF(OR($G$18=0,LEN($G$18)=0),"",+ROUND(((H49)/$G$18),6))</f>
        <v/>
      </c>
      <c r="H49" s="219"/>
      <c r="J49" s="183"/>
      <c r="K49" s="183"/>
      <c r="L49" s="183"/>
      <c r="M49" s="277" t="str">
        <f>+IFERROR(IF(N49&lt;&gt;TRUNC(N49,2),".+ de 2 decim.",IF(COUNTA($H$29:$H$67)&lt;15,15-COUNTA($H$29:$H$67)&amp;" Items ptes.ofertar ",IF(AND($G$18&gt;0,$H$56&gt;0,(N49)/(N49)=1),"ok","mal"))),"¿max.min.ofertado?")</f>
        <v>¿max.min.ofertado?</v>
      </c>
      <c r="N49" s="183" t="str">
        <f>+IF(OR($G$18=0,LEN($G$18)=0),"",IF(OR($G$18&lt;0,+$G$18/$G$18&lt;&gt;1),"Total oferta Lote incorrecto (no numérico o negativo)",IF(AND($G$18&gt;0,$H$56&gt;0,H49&lt;=0),"¿importe ofertado?",IF(AND($G$18&gt;0,$H$56&lt;0),"acum.of.oferta sede &gt;oferta lote",IF(AND($G$18&gt;0,$H$56&gt;0,H49&lt;VLOOKUP(B49,'% admitidos'!A:M,11,FALSE)),+"min."&amp;VLOOKUP(B49,'% admitidos'!A:M,11,FALSE),IF(AND($G$18&gt;0,$H$56&gt;0,H49&gt;VLOOKUP(B49,'% admitidos'!A:M,13,FALSE)),+"max."&amp;VLOOKUP(B49,'% admitidos'!A:M,13,FALSE),+H49))))))</f>
        <v/>
      </c>
    </row>
    <row r="50" spans="1:23" ht="12" customHeight="1" thickBot="1" x14ac:dyDescent="0.3">
      <c r="A50" s="147" t="s">
        <v>542</v>
      </c>
      <c r="B50" s="152" t="s">
        <v>390</v>
      </c>
      <c r="C50" s="254" t="str">
        <f>+IF(LEN('Anx I pg 1 oferta'!$C$56)&gt;0,"","min. "&amp;VLOOKUP(B49,'% admitidos'!A:M,11,FALSE)&amp;" - med.  "&amp;VLOOKUP(B49,'% admitidos'!A:M,12,FALSE)&amp;" - max.  "&amp;+ROUND(VLOOKUP(B49,'% admitidos'!A:M,13,FALSE),6))</f>
        <v>min. 0 - med.  0 - max.  0</v>
      </c>
      <c r="D50" s="54"/>
      <c r="E50" s="54"/>
      <c r="F50" s="67"/>
      <c r="G50" s="54"/>
      <c r="H50" s="55"/>
      <c r="J50" s="107"/>
      <c r="K50" s="107"/>
      <c r="L50" s="107"/>
      <c r="M50" s="279"/>
      <c r="N50" s="107"/>
    </row>
    <row r="51" spans="1:23" ht="21.95" customHeight="1" thickBot="1" x14ac:dyDescent="0.3">
      <c r="A51" s="147" t="str">
        <f>+'Anx I pg 1 oferta'!$B$18&amp;"T2_L02_inst_"&amp;B51</f>
        <v>T2_L02_inst_L02-11</v>
      </c>
      <c r="B51" s="176" t="s">
        <v>151</v>
      </c>
      <c r="C51" s="177" t="str">
        <f>+VLOOKUP(B51,'DATOS CENTROS'!B:F,4,FALSE)</f>
        <v>C.T. RTVE La Rioja</v>
      </c>
      <c r="D51" s="178"/>
      <c r="E51" s="179" t="str">
        <f>+VLOOKUP(B51,'DATOS CENTROS'!B:F,3,FALSE)</f>
        <v>C</v>
      </c>
      <c r="F51" s="180">
        <f>+VLOOKUP(B51,'DATOS CENTROS'!B:F,5,FALSE)</f>
        <v>2.5000000000000001E-2</v>
      </c>
      <c r="G51" s="181" t="str">
        <f>+IF(OR($G$18=0,LEN($G$18)=0),"",+ROUND(((H51)/$G$18),6))</f>
        <v/>
      </c>
      <c r="H51" s="217"/>
      <c r="J51" s="183"/>
      <c r="K51" s="183"/>
      <c r="L51" s="183"/>
      <c r="M51" s="277" t="str">
        <f>+IFERROR(IF(N51&lt;&gt;TRUNC(N51,2),".+ de 2 decim.",IF(COUNTA($H$29:$H$67)&lt;15,15-COUNTA($H$29:$H$67)&amp;" Items ptes.ofertar ",IF(AND($G$18&gt;0,$H$56&gt;0,(N51)/(N51)=1),"ok","mal"))),"¿max.min.ofertado?")</f>
        <v>¿max.min.ofertado?</v>
      </c>
      <c r="N51" s="183" t="str">
        <f>+IF(OR($G$18=0,LEN($G$18)=0),"",IF(OR($G$18&lt;0,+$G$18/$G$18&lt;&gt;1),"Total oferta Lote incorrecto (no numérico o negativo)",IF(AND($G$18&gt;0,$H$56&gt;0,H51&lt;=0),"¿importe ofertado?",IF(AND($G$18&gt;0,$H$56&lt;0),"acum.of.oferta sede &gt;oferta lote",IF(AND($G$18&gt;0,$H$56&lt;&gt;0,H51&lt;VLOOKUP(B51,'% admitidos'!A:M,11,FALSE)),+"min."&amp;VLOOKUP(B51,'% admitidos'!A:M,11,FALSE),IF(AND($G$18&gt;0,$H$56&gt;0,H51&gt;VLOOKUP(B51,'% admitidos'!A:M,13,FALSE)),+"max."&amp;VLOOKUP(B51,'% admitidos'!A:M,13,FALSE),+H51))))))</f>
        <v/>
      </c>
      <c r="Q51" s="101"/>
      <c r="R51" s="101"/>
      <c r="S51" s="101"/>
      <c r="T51" s="101"/>
      <c r="U51" s="101"/>
      <c r="V51" s="101"/>
      <c r="W51" s="101"/>
    </row>
    <row r="52" spans="1:23" ht="12" customHeight="1" thickBot="1" x14ac:dyDescent="0.3">
      <c r="A52" s="147" t="s">
        <v>542</v>
      </c>
      <c r="B52" s="236" t="s">
        <v>390</v>
      </c>
      <c r="C52" s="240" t="str">
        <f>+IF(LEN('Anx I pg 1 oferta'!$C$56)&gt;0,"","min. "&amp;VLOOKUP(B51,'% admitidos'!A:M,11,FALSE)&amp;" - med.  "&amp;VLOOKUP(B51,'% admitidos'!A:M,12,FALSE)&amp;" - max.  "&amp;VLOOKUP(B51,'% admitidos'!A:M,13,FALSE))</f>
        <v>min. 0 - med.  0 - max.  0</v>
      </c>
      <c r="D52" s="61"/>
      <c r="E52" s="61"/>
      <c r="F52" s="67"/>
      <c r="G52" s="68"/>
      <c r="H52" s="123"/>
      <c r="J52" s="126"/>
      <c r="K52" s="126"/>
      <c r="L52" s="126"/>
      <c r="M52" s="279"/>
      <c r="N52" s="126"/>
    </row>
    <row r="53" spans="1:23" ht="15.75" thickBot="1" x14ac:dyDescent="0.3">
      <c r="A53" s="147" t="str">
        <f>+'Anx I pg 1 oferta'!$B$18&amp;"T2_L02_cab4(CA)"</f>
        <v>T2_L02_cab4(CA)</v>
      </c>
      <c r="B53" s="170" t="s">
        <v>390</v>
      </c>
      <c r="C53" s="171" t="s">
        <v>153</v>
      </c>
      <c r="D53" s="172"/>
      <c r="E53" s="172"/>
      <c r="F53" s="173"/>
      <c r="G53" s="173"/>
      <c r="H53" s="174"/>
      <c r="M53" s="12"/>
    </row>
    <row r="54" spans="1:23" ht="21.95" customHeight="1" thickBot="1" x14ac:dyDescent="0.3">
      <c r="A54" s="147" t="str">
        <f>+'Anx I pg 1 oferta'!$B$18&amp;"T2_L02_inst_"&amp;B54</f>
        <v>T2_L02_inst_L02-12</v>
      </c>
      <c r="B54" s="176" t="s">
        <v>154</v>
      </c>
      <c r="C54" s="177" t="str">
        <f>+VLOOKUP(B54,'DATOS CENTROS'!B:F,4,FALSE)</f>
        <v>C.T. RTVE País Vasco</v>
      </c>
      <c r="D54" s="178"/>
      <c r="E54" s="179" t="str">
        <f>+VLOOKUP(B54,'DATOS CENTROS'!B:F,3,FALSE)</f>
        <v xml:space="preserve"> A + C</v>
      </c>
      <c r="F54" s="180">
        <f>+VLOOKUP(B54,'DATOS CENTROS'!B:F,5,FALSE)</f>
        <v>9.1999999999999998E-2</v>
      </c>
      <c r="G54" s="181" t="str">
        <f>+IF(OR($G$18=0,LEN($G$18)=0),"",+ROUND(((H54)/$G$18),6))</f>
        <v/>
      </c>
      <c r="H54" s="217"/>
      <c r="J54" s="183"/>
      <c r="K54" s="183"/>
      <c r="L54" s="183"/>
      <c r="M54" s="277" t="str">
        <f>+IFERROR(IF(N54&lt;&gt;TRUNC(N54,2),".+ de 2 decim.",IF(COUNTA($H$29:$H$67)&lt;15,15-COUNTA($H$29:$H$67)&amp;" Items ptes.ofertar ",IF(AND($G$18&gt;0,$H$56&gt;0,(N54)/(N54)=1),"ok","mal"))),"¿max.min.ofertado?")</f>
        <v>¿max.min.ofertado?</v>
      </c>
      <c r="N54" s="183" t="str">
        <f>+IF(OR($G$18=0,LEN($G$18)=0),"",IF(OR($G$18&lt;0,+$G$18/$G$18&lt;&gt;1),"Total oferta Lote incorrecto (no numérico o negativo)",IF(AND($G$18&gt;0,$H$56&gt;0,H54&lt;=0),"¿importe ofertado?",IF(AND($G$18&gt;0,$H$56&lt;0),"acum.of.oferta sede &gt;oferta lote",IF(AND($G$18&gt;0,$H$56&gt;0,H54&lt;VLOOKUP(B54,'% admitidos'!A:M,11,FALSE)),+"min."&amp;VLOOKUP(B54,'% admitidos'!A:M,11,FALSE),IF(AND($G$18&gt;0,$H$56&gt;0,H54&gt;VLOOKUP(B54,'% admitidos'!A:M,13,FALSE)),+"max."&amp;VLOOKUP(B54,'% admitidos'!A:M,13,FALSE),+H54))))))</f>
        <v/>
      </c>
    </row>
    <row r="55" spans="1:23" ht="12" customHeight="1" thickTop="1" thickBot="1" x14ac:dyDescent="0.3">
      <c r="A55" s="147" t="s">
        <v>542</v>
      </c>
      <c r="B55" s="237" t="s">
        <v>390</v>
      </c>
      <c r="C55" s="248" t="str">
        <f>+IF(LEN('Anx I pg 1 oferta'!$C$56)&gt;0,"","min. "&amp;VLOOKUP(B54,'% admitidos'!A:M,11,FALSE)&amp;" - med.  "&amp;VLOOKUP(B54,'% admitidos'!A:M,12,FALSE)&amp;" - max.  "&amp;VLOOKUP(B54,'% admitidos'!A:M,13,FALSE))</f>
        <v>min. 0 - med.  0 - max.  0</v>
      </c>
      <c r="D55" s="135"/>
      <c r="E55" s="135"/>
      <c r="F55" s="136"/>
      <c r="G55" s="137"/>
      <c r="H55" s="138"/>
      <c r="J55" s="126"/>
      <c r="K55" s="126"/>
      <c r="L55" s="126"/>
      <c r="M55" s="279"/>
      <c r="N55" s="126"/>
    </row>
    <row r="56" spans="1:23" ht="21.95" customHeight="1" thickBot="1" x14ac:dyDescent="0.3">
      <c r="A56" s="147" t="str">
        <f>+'Anx I pg 1 oferta'!$B$18&amp;"T2_L02_inst_"&amp;B56</f>
        <v>T2_L02_inst_L02-13</v>
      </c>
      <c r="B56" s="176" t="s">
        <v>156</v>
      </c>
      <c r="C56" s="177" t="str">
        <f>+VLOOKUP(B56,'DATOS CENTROS'!B:F,4,FALSE)</f>
        <v>C.E. OM ZUBIETA</v>
      </c>
      <c r="D56" s="178"/>
      <c r="E56" s="179" t="str">
        <f>+VLOOKUP(B56,'DATOS CENTROS'!B:F,3,FALSE)</f>
        <v xml:space="preserve"> A + C</v>
      </c>
      <c r="F56" s="180">
        <f>+VLOOKUP(B56,'DATOS CENTROS'!B:F,5,FALSE)</f>
        <v>0.13700000000000001</v>
      </c>
      <c r="G56" s="195" t="str">
        <f>+IF(OR($G$18=0,LEN($G$18)=0),"",1-SUM(G29:G55)-SUM(G58:G67))</f>
        <v/>
      </c>
      <c r="H56" s="197" t="str">
        <f>+IF(OR($G$18=0,+LEN($G$18)=0),"",+$G$18-SUM(H29:H55)-SUM(H58:H67))</f>
        <v/>
      </c>
      <c r="J56" s="183"/>
      <c r="K56" s="183"/>
      <c r="L56" s="183"/>
      <c r="M56" s="277" t="str">
        <f>+IFERROR(IF(COUNTA($H$29:$H$67)&lt;15,15-COUNTA($H$29:$H$67)&amp;" Items ptes.ofertar ",IF(AND($G$18&gt;0,$H$37&gt;0,(N56)/(N56)=1),"ok","mal")),"¿max.min.ofertado?")</f>
        <v xml:space="preserve">14 Items ptes.ofertar </v>
      </c>
      <c r="N56" s="183" t="str">
        <f>+IF(OR($G$18=0,LEN($G$18)=0),"",IF(OR($G$18&lt;0,+$G$18/$G$18&lt;&gt;1),"Total oferta Lote incorrecto (no numérico o negativo)",IF(AND($G$18&gt;0,$H$56&gt;0,H56&lt;=0),"¿importe ofertado?",IF(AND($G$18&gt;0,$H$56&lt;0),"acum.of.oferta sede &gt;oferta lote",IF(AND($G$18&gt;0,$H$56&lt;&gt;0,H56&lt;VLOOKUP(B56,'% admitidos'!A:M,13,FALSE)),+"MIN."&amp;VLOOKUP(B56,'% admitidos'!A:M,13,FALSE),IF(AND($G$18&gt;0,$H$56&gt;0,H56&gt;VLOOKUP(B56,'% admitidos'!A:M,11,FALSE)),+"MAX."&amp;VLOOKUP(B56,'% admitidos'!A:M,11,FALSE),+H56))))))</f>
        <v/>
      </c>
    </row>
    <row r="57" spans="1:23" ht="12" customHeight="1" thickBot="1" x14ac:dyDescent="0.3">
      <c r="A57" s="147" t="s">
        <v>542</v>
      </c>
      <c r="B57" s="236" t="s">
        <v>390</v>
      </c>
      <c r="C57" s="240" t="str">
        <f>+IF(LEN('Anx I pg 1 oferta'!$C$56)&gt;0,"","MAX.  "&amp;VLOOKUP(B56,'% admitidos'!A:M,11,FALSE)&amp;" - med.  "&amp;VLOOKUP(B56,'% admitidos'!A:M,12,FALSE)&amp;" - MIN. "&amp;VLOOKUP(B56,'% admitidos'!A:M,13,FALSE))</f>
        <v>MAX.  0 - med.  0 - MIN. 0</v>
      </c>
      <c r="D57" s="61"/>
      <c r="E57" s="61"/>
      <c r="F57" s="67"/>
      <c r="G57" s="67"/>
      <c r="H57" s="123"/>
      <c r="J57" s="126"/>
      <c r="K57" s="126"/>
      <c r="L57" s="126"/>
      <c r="M57" s="279"/>
      <c r="N57" s="126"/>
    </row>
    <row r="58" spans="1:23" ht="21.95" customHeight="1" thickBot="1" x14ac:dyDescent="0.3">
      <c r="A58" s="147" t="str">
        <f>+'Anx I pg 1 oferta'!$B$18&amp;"T2_L02_inst_"&amp;B58</f>
        <v>T2_L02_inst_L02-14</v>
      </c>
      <c r="B58" s="176" t="s">
        <v>158</v>
      </c>
      <c r="C58" s="177" t="str">
        <f>+VLOOKUP(B58,'DATOS CENTROS'!B:F,4,FALSE)</f>
        <v>C.T. RNE País Vasco</v>
      </c>
      <c r="D58" s="178"/>
      <c r="E58" s="179" t="str">
        <f>+VLOOKUP(B58,'DATOS CENTROS'!B:F,3,FALSE)</f>
        <v>C</v>
      </c>
      <c r="F58" s="180">
        <f>+VLOOKUP(B58,'DATOS CENTROS'!B:F,5,FALSE)</f>
        <v>2.8000000000000001E-2</v>
      </c>
      <c r="G58" s="181" t="str">
        <f>+IF(OR($G$18=0,LEN($G$18)=0),"",+ROUND(((H58)/$G$18),6))</f>
        <v/>
      </c>
      <c r="H58" s="217"/>
      <c r="J58" s="183"/>
      <c r="K58" s="183"/>
      <c r="L58" s="183"/>
      <c r="M58" s="277" t="str">
        <f>+IFERROR(IF(N58&lt;&gt;TRUNC(N58,2),".+ de 2 decim.",IF(COUNTA($H$29:$H$67)&lt;15,15-COUNTA($H$29:$H$67)&amp;" Items ptes.ofertar ",IF(AND($G$18&gt;0,$H$56&gt;0,(N58)/(N58)=1),"ok","mal"))),"¿max.min.ofertado?")</f>
        <v>¿max.min.ofertado?</v>
      </c>
      <c r="N58" s="183" t="str">
        <f>+IF(OR($G$18=0,LEN($G$18)=0),"",IF(OR($G$18&lt;0,+$G$18/$G$18&lt;&gt;1),"Total oferta Lote incorrecto (no numérico o negativo)",IF(AND($G$18&gt;0,$H$56&gt;0,H58&lt;=0),"¿importe ofertado?",IF(AND($G$18&gt;0,$H$56&lt;0),"acum.of.oferta sede &gt;oferta lote",IF(AND($G$18&gt;0,$H$56&gt;0,H58&lt;VLOOKUP(B58,'% admitidos'!A:M,11,FALSE)),+"min."&amp;VLOOKUP(B58,'% admitidos'!A:M,11,FALSE),IF(AND($G$18&gt;0,$H$56&gt;0,H58&gt;VLOOKUP(B58,'% admitidos'!A:M,13,FALSE)),+"max."&amp;VLOOKUP(B58,'% admitidos'!A:M,13,FALSE),+H58))))))</f>
        <v/>
      </c>
    </row>
    <row r="59" spans="1:23" ht="12" customHeight="1" thickTop="1" thickBot="1" x14ac:dyDescent="0.3">
      <c r="A59" s="147" t="s">
        <v>542</v>
      </c>
      <c r="B59" s="237" t="s">
        <v>390</v>
      </c>
      <c r="C59" s="248" t="str">
        <f>+IF(LEN('Anx I pg 1 oferta'!$C$56)&gt;0,"","min. "&amp;VLOOKUP(B58,'% admitidos'!A:M,11,FALSE)&amp;" - med.  "&amp;VLOOKUP(B58,'% admitidos'!A:M,12,FALSE)&amp;" - max.  "&amp;VLOOKUP(B58,'% admitidos'!A:M,13,FALSE))</f>
        <v>min. 0 - med.  0 - max.  0</v>
      </c>
      <c r="D59" s="135"/>
      <c r="E59" s="135"/>
      <c r="F59" s="136"/>
      <c r="G59" s="136"/>
      <c r="H59" s="148"/>
      <c r="J59" s="126"/>
      <c r="K59" s="126"/>
      <c r="L59" s="126"/>
      <c r="M59" s="279"/>
      <c r="N59" s="126"/>
    </row>
    <row r="60" spans="1:23" ht="21.95" customHeight="1" thickBot="1" x14ac:dyDescent="0.3">
      <c r="A60" s="147" t="str">
        <f>+'Anx I pg 1 oferta'!$B$18&amp;"T2_L02_inst_"&amp;B60</f>
        <v>T2_L02_inst_L02-15</v>
      </c>
      <c r="B60" s="176" t="s">
        <v>160</v>
      </c>
      <c r="C60" s="177" t="str">
        <f>+VLOOKUP(B60,'DATOS CENTROS'!B:F,4,FALSE)</f>
        <v>U.I. RTVE San Sebastián</v>
      </c>
      <c r="D60" s="178"/>
      <c r="E60" s="179" t="str">
        <f>+VLOOKUP(B60,'DATOS CENTROS'!B:F,3,FALSE)</f>
        <v>C</v>
      </c>
      <c r="F60" s="180">
        <f>+VLOOKUP(B60,'DATOS CENTROS'!B:F,5,FALSE)</f>
        <v>3.5000000000000003E-2</v>
      </c>
      <c r="G60" s="181" t="str">
        <f>+IF(OR($G$18=0,LEN($G$18)=0),"",+ROUND(((H60)/$G$18),6))</f>
        <v/>
      </c>
      <c r="H60" s="217"/>
      <c r="J60" s="183"/>
      <c r="K60" s="183"/>
      <c r="L60" s="183"/>
      <c r="M60" s="277" t="str">
        <f>+IFERROR(IF(N60&lt;&gt;TRUNC(N60,2),".+ de 2 decim.",IF(COUNTA($H$29:$H$67)&lt;15,15-COUNTA($H$29:$H$67)&amp;" Items ptes.ofertar ",IF(AND($G$18&gt;0,$H$56&gt;0,(N60)/(N60)=1),"ok","mal"))),"¿max.min.ofertado?")</f>
        <v>¿max.min.ofertado?</v>
      </c>
      <c r="N60" s="183" t="str">
        <f>+IF(OR($G$18=0,LEN($G$18)=0),"",IF(OR($G$18&lt;0,+$G$18/$G$18&lt;&gt;1),"Total oferta Lote incorrecto (no numérico o negativo)",IF(AND($G$18&gt;0,$H$56&gt;0,H60&lt;=0),"¿importe ofertado?",IF(AND($G$18&gt;0,$H$56&lt;0),"acum.of.oferta sede &gt;oferta lote",IF(AND($G$18&gt;0,$H$56&gt;0,H60&lt;VLOOKUP(B60,'% admitidos'!A:M,11,FALSE)),+"min."&amp;VLOOKUP(B60,'% admitidos'!A:M,11,FALSE),IF(AND($G$18&gt;0,$H$56&gt;0,H60&gt;VLOOKUP(B60,'% admitidos'!A:M,13,FALSE)),+"max."&amp;+ROUND(VLOOKUP(B60,'% admitidos'!A:M,13,FALSE),4),+H60))))))</f>
        <v/>
      </c>
    </row>
    <row r="61" spans="1:23" ht="12" customHeight="1" thickTop="1" thickBot="1" x14ac:dyDescent="0.3">
      <c r="A61" s="147" t="s">
        <v>542</v>
      </c>
      <c r="B61" s="237" t="s">
        <v>390</v>
      </c>
      <c r="C61" s="248" t="str">
        <f>+IF(LEN('Anx I pg 1 oferta'!$C$56)&gt;0,"","min. "&amp;VLOOKUP(B60,'% admitidos'!A:M,11,FALSE)&amp;" - med.  "&amp;VLOOKUP(B60,'% admitidos'!A:M,12,FALSE)&amp;" - max.  "&amp;+ROUND(VLOOKUP(B60,'% admitidos'!A:M,13,FALSE),6))</f>
        <v>min. 0 - med.  0 - max.  0</v>
      </c>
      <c r="D61" s="135"/>
      <c r="E61" s="135"/>
      <c r="F61" s="135"/>
      <c r="G61" s="135"/>
      <c r="H61" s="144"/>
      <c r="J61" s="107"/>
      <c r="K61" s="107"/>
      <c r="L61" s="107"/>
      <c r="M61" s="56"/>
      <c r="N61" s="107"/>
    </row>
    <row r="62" spans="1:23" ht="30" hidden="1" customHeight="1" thickBot="1" x14ac:dyDescent="0.3">
      <c r="A62" s="147" t="s">
        <v>544</v>
      </c>
      <c r="B62" s="198" t="s">
        <v>390</v>
      </c>
      <c r="C62" s="177"/>
      <c r="D62" s="178"/>
      <c r="E62" s="179"/>
      <c r="F62" s="180"/>
      <c r="G62" s="181"/>
      <c r="H62" s="199"/>
      <c r="J62" s="183"/>
      <c r="K62" s="183"/>
      <c r="L62" s="183"/>
      <c r="M62" s="184"/>
      <c r="N62" s="183"/>
      <c r="Q62" s="101"/>
      <c r="R62" s="101"/>
      <c r="S62" s="101"/>
      <c r="T62" s="101"/>
      <c r="U62" s="101"/>
      <c r="V62" s="101"/>
      <c r="W62" s="101"/>
    </row>
    <row r="63" spans="1:23" ht="15.75" hidden="1" thickBot="1" x14ac:dyDescent="0.3">
      <c r="A63" s="147" t="s">
        <v>544</v>
      </c>
      <c r="B63" s="149" t="s">
        <v>390</v>
      </c>
      <c r="C63" s="60"/>
      <c r="D63" s="61"/>
      <c r="E63" s="61"/>
      <c r="F63" s="67"/>
      <c r="G63" s="68"/>
      <c r="H63" s="123"/>
      <c r="J63" s="126"/>
      <c r="K63" s="126"/>
      <c r="L63" s="126"/>
      <c r="M63" s="87"/>
      <c r="N63" s="126"/>
    </row>
    <row r="64" spans="1:23" ht="30" hidden="1" customHeight="1" thickBot="1" x14ac:dyDescent="0.3">
      <c r="A64" s="147" t="s">
        <v>544</v>
      </c>
      <c r="B64" s="198" t="s">
        <v>390</v>
      </c>
      <c r="C64" s="177"/>
      <c r="D64" s="178"/>
      <c r="E64" s="179"/>
      <c r="F64" s="180"/>
      <c r="G64" s="181"/>
      <c r="H64" s="199"/>
      <c r="J64" s="183"/>
      <c r="K64" s="183"/>
      <c r="L64" s="183"/>
      <c r="M64" s="184"/>
      <c r="N64" s="183"/>
    </row>
    <row r="65" spans="1:16" ht="16.5" hidden="1" thickTop="1" thickBot="1" x14ac:dyDescent="0.3">
      <c r="A65" s="147" t="s">
        <v>544</v>
      </c>
      <c r="B65" s="150" t="s">
        <v>390</v>
      </c>
      <c r="C65" s="134"/>
      <c r="D65" s="135"/>
      <c r="E65" s="135"/>
      <c r="F65" s="136"/>
      <c r="G65" s="137"/>
      <c r="H65" s="138"/>
      <c r="J65" s="126"/>
      <c r="K65" s="126"/>
      <c r="L65" s="126"/>
      <c r="M65" s="87"/>
      <c r="N65" s="126"/>
    </row>
    <row r="66" spans="1:16" ht="30" hidden="1" customHeight="1" thickBot="1" x14ac:dyDescent="0.3">
      <c r="A66" s="147" t="s">
        <v>544</v>
      </c>
      <c r="B66" s="198" t="s">
        <v>390</v>
      </c>
      <c r="C66" s="177"/>
      <c r="D66" s="178"/>
      <c r="E66" s="179"/>
      <c r="F66" s="180"/>
      <c r="G66" s="181"/>
      <c r="H66" s="199"/>
      <c r="J66" s="183"/>
      <c r="K66" s="183"/>
      <c r="L66" s="183"/>
      <c r="M66" s="184"/>
      <c r="N66" s="183"/>
    </row>
    <row r="67" spans="1:16" ht="15.75" hidden="1" thickBot="1" x14ac:dyDescent="0.3">
      <c r="A67" s="147" t="s">
        <v>544</v>
      </c>
      <c r="B67" s="149" t="s">
        <v>390</v>
      </c>
      <c r="C67" s="60"/>
      <c r="D67" s="61"/>
      <c r="E67" s="61"/>
      <c r="F67" s="67"/>
      <c r="G67" s="67"/>
      <c r="H67" s="151"/>
      <c r="J67" s="87"/>
      <c r="N67" s="126"/>
    </row>
    <row r="68" spans="1:16" x14ac:dyDescent="0.25">
      <c r="A68" s="147" t="str">
        <f>+'Anx I pg 1 oferta'!$B$18&amp;"T2_L02_TOT"</f>
        <v>T2_L02_TOT</v>
      </c>
      <c r="B68" s="122"/>
      <c r="C68" s="122"/>
      <c r="D68" s="122"/>
      <c r="E68" s="122"/>
      <c r="F68" s="285">
        <f>SUM(F29:F67)</f>
        <v>1</v>
      </c>
      <c r="G68" s="286">
        <f>SUM(G29:G67)</f>
        <v>0</v>
      </c>
      <c r="H68" s="287">
        <f>SUM(H29:H67)</f>
        <v>0</v>
      </c>
      <c r="I68" s="15"/>
    </row>
    <row r="69" spans="1:16" x14ac:dyDescent="0.25">
      <c r="A69" s="147" t="s">
        <v>544</v>
      </c>
    </row>
    <row r="70" spans="1:16" x14ac:dyDescent="0.25">
      <c r="A70" s="147" t="s">
        <v>544</v>
      </c>
      <c r="M70" s="82"/>
      <c r="P70" s="82"/>
    </row>
    <row r="71" spans="1:16" x14ac:dyDescent="0.25">
      <c r="A71" s="147" t="s">
        <v>544</v>
      </c>
    </row>
    <row r="72" spans="1:16" ht="30" customHeight="1" x14ac:dyDescent="0.25">
      <c r="A72" s="147" t="s">
        <v>544</v>
      </c>
      <c r="B72" s="226" t="s">
        <v>530</v>
      </c>
    </row>
    <row r="73" spans="1:16" x14ac:dyDescent="0.25">
      <c r="A73" s="147" t="s">
        <v>544</v>
      </c>
    </row>
    <row r="74" spans="1:16" x14ac:dyDescent="0.25">
      <c r="A74" s="147" t="s">
        <v>544</v>
      </c>
      <c r="B74" s="2" t="s">
        <v>535</v>
      </c>
    </row>
    <row r="75" spans="1:16" ht="15.75" thickBot="1" x14ac:dyDescent="0.3">
      <c r="A75" s="147" t="s">
        <v>544</v>
      </c>
      <c r="B75" s="2" t="str">
        <f>+$B$11</f>
        <v>Lote  2 : CCAA Aragón, Navarra, La Rioja y el País Vasco.</v>
      </c>
    </row>
    <row r="76" spans="1:16" ht="30" customHeight="1" thickBot="1" x14ac:dyDescent="0.3">
      <c r="A76" s="147" t="str">
        <f>+'Anx I pg 1 oferta'!$B$18&amp;"T3_L02_cab0a"</f>
        <v>T3_L02_cab0a</v>
      </c>
      <c r="B76" s="200" t="s">
        <v>59</v>
      </c>
      <c r="C76" s="200" t="s">
        <v>379</v>
      </c>
      <c r="D76" s="200" t="s">
        <v>60</v>
      </c>
      <c r="E76" s="200" t="s">
        <v>359</v>
      </c>
      <c r="F76" s="201" t="s">
        <v>378</v>
      </c>
      <c r="G76" s="105" t="s">
        <v>533</v>
      </c>
      <c r="H76" s="103" t="s">
        <v>360</v>
      </c>
      <c r="I76" s="103" t="s">
        <v>361</v>
      </c>
      <c r="J76" s="106" t="s">
        <v>380</v>
      </c>
      <c r="K76" s="274" t="s">
        <v>490</v>
      </c>
      <c r="L76" s="202"/>
    </row>
    <row r="77" spans="1:16" ht="15.75" thickBot="1" x14ac:dyDescent="0.3">
      <c r="A77" s="147" t="str">
        <f>+'Anx I pg 1 oferta'!$B$18&amp;"T3_L02_cab0b"</f>
        <v>T3_L02_cab0b</v>
      </c>
      <c r="B77" s="203" t="s">
        <v>489</v>
      </c>
      <c r="C77" s="204" t="s">
        <v>362</v>
      </c>
      <c r="D77" s="205"/>
      <c r="E77" s="206"/>
      <c r="F77" s="207">
        <v>1</v>
      </c>
      <c r="G77" s="208"/>
      <c r="H77" s="205"/>
      <c r="I77" s="205"/>
      <c r="J77" s="205"/>
      <c r="K77" s="206"/>
      <c r="L77" s="202"/>
    </row>
    <row r="78" spans="1:16" ht="15.75" thickBot="1" x14ac:dyDescent="0.3">
      <c r="A78" s="147" t="str">
        <f>+'Anx I pg 1 oferta'!$B$18&amp;"T3_L02_cab1(CA)"</f>
        <v>T3_L02_cab1(CA)</v>
      </c>
      <c r="B78" s="209" t="s">
        <v>390</v>
      </c>
      <c r="C78" s="210" t="s">
        <v>494</v>
      </c>
      <c r="D78" s="211"/>
      <c r="E78" s="211"/>
      <c r="F78" s="211"/>
      <c r="G78" s="211"/>
      <c r="H78" s="211"/>
      <c r="I78" s="211"/>
      <c r="J78" s="211"/>
      <c r="K78" s="212">
        <f>+G18</f>
        <v>0</v>
      </c>
      <c r="L78" s="202"/>
    </row>
    <row r="79" spans="1:16" ht="15.75" customHeight="1" thickBot="1" x14ac:dyDescent="0.3">
      <c r="A79" s="147" t="str">
        <f>+'Anx I pg 1 oferta'!$B$18&amp;"T3_L02_inst_"&amp;B79&amp;"DA1"</f>
        <v>T3_L02_inst_L02-01DA1</v>
      </c>
      <c r="B79" s="348" t="s">
        <v>129</v>
      </c>
      <c r="C79" s="351" t="str">
        <f>+VLOOKUP(B79,'DATOS CENTROS'!B:E,2,FALSE)</f>
        <v>Camino Real del Campillo. La Muela (Bº Jorgit)</v>
      </c>
      <c r="D79" s="354" t="str">
        <f>+VLOOKUP(B79,'DATOS CENTROS'!B:E,3,FALSE)</f>
        <v xml:space="preserve"> A + C</v>
      </c>
      <c r="E79" s="357" t="str">
        <f>+VLOOKUP(B79,'DATOS CENTROS'!B:E,4,FALSE)</f>
        <v>C.E. FM y OM LA MUELA (TERUEL)</v>
      </c>
      <c r="F79" s="360">
        <f>+VLOOKUP(B79,'DATOS CENTROS'!B:F,5,FALSE)</f>
        <v>7.6999999999999999E-2</v>
      </c>
      <c r="G79" s="342" t="str">
        <f>+IF(G29&gt;0,G29,"")</f>
        <v/>
      </c>
      <c r="H79" s="213" t="s">
        <v>25</v>
      </c>
      <c r="I79" s="214">
        <v>0.15</v>
      </c>
      <c r="J79" s="215" t="e">
        <f>+IF($K$79&gt;0,+ROUND($K$79*I79,0),"")</f>
        <v>#VALUE!</v>
      </c>
      <c r="K79" s="345" t="str">
        <f>+IFERROR(IF(OR($G$18=0,LEN($G$18)=0),"",IF(AND(M29="ok",(H29/H29)=1),N29,"")),"¿?")</f>
        <v/>
      </c>
      <c r="L79" s="202"/>
    </row>
    <row r="80" spans="1:16" ht="15.75" thickBot="1" x14ac:dyDescent="0.3">
      <c r="A80" s="147" t="str">
        <f>+'Anx I pg 1 oferta'!$B$18&amp;"T3_L02_inst_"&amp;B79&amp;"DA2"</f>
        <v>T3_L02_inst_L02-01DA2</v>
      </c>
      <c r="B80" s="349"/>
      <c r="C80" s="352"/>
      <c r="D80" s="355"/>
      <c r="E80" s="358"/>
      <c r="F80" s="361"/>
      <c r="G80" s="343"/>
      <c r="H80" s="213" t="s">
        <v>26</v>
      </c>
      <c r="I80" s="214">
        <v>0.1</v>
      </c>
      <c r="J80" s="215" t="e">
        <f t="shared" ref="J80:J82" si="0">+IF($K$79&gt;0,+ROUND($K$79*I80,0),"")</f>
        <v>#VALUE!</v>
      </c>
      <c r="K80" s="346"/>
      <c r="L80" s="202"/>
    </row>
    <row r="81" spans="1:12" ht="15.75" thickBot="1" x14ac:dyDescent="0.3">
      <c r="A81" s="147" t="str">
        <f>+'Anx I pg 1 oferta'!$B$18&amp;"T3_L02_inst_"&amp;B79&amp;"DA3"</f>
        <v>T3_L02_inst_L02-01DA3</v>
      </c>
      <c r="B81" s="349"/>
      <c r="C81" s="352"/>
      <c r="D81" s="355"/>
      <c r="E81" s="358"/>
      <c r="F81" s="361"/>
      <c r="G81" s="343"/>
      <c r="H81" s="213" t="s">
        <v>27</v>
      </c>
      <c r="I81" s="214">
        <v>0.2</v>
      </c>
      <c r="J81" s="215" t="e">
        <f t="shared" si="0"/>
        <v>#VALUE!</v>
      </c>
      <c r="K81" s="346"/>
      <c r="L81" s="202"/>
    </row>
    <row r="82" spans="1:12" ht="15.75" thickBot="1" x14ac:dyDescent="0.3">
      <c r="A82" s="147" t="str">
        <f>+'Anx I pg 1 oferta'!$B$18&amp;"T3_L02_inst_"&amp;B79&amp;"DA4"</f>
        <v>T3_L02_inst_L02-01DA4</v>
      </c>
      <c r="B82" s="349"/>
      <c r="C82" s="352"/>
      <c r="D82" s="355"/>
      <c r="E82" s="358"/>
      <c r="F82" s="361"/>
      <c r="G82" s="343"/>
      <c r="H82" s="213" t="s">
        <v>57</v>
      </c>
      <c r="I82" s="214">
        <v>0.05</v>
      </c>
      <c r="J82" s="215" t="e">
        <f t="shared" si="0"/>
        <v>#VALUE!</v>
      </c>
      <c r="K82" s="346"/>
      <c r="L82" s="202"/>
    </row>
    <row r="83" spans="1:12" ht="15.75" thickBot="1" x14ac:dyDescent="0.3">
      <c r="A83" s="147" t="str">
        <f>+'Anx I pg 1 oferta'!$B$18&amp;"T3_L02_inst_"&amp;B79&amp;"DA5"</f>
        <v>T3_L02_inst_L02-01DA5</v>
      </c>
      <c r="B83" s="350"/>
      <c r="C83" s="353"/>
      <c r="D83" s="356"/>
      <c r="E83" s="359"/>
      <c r="F83" s="362"/>
      <c r="G83" s="344"/>
      <c r="H83" s="213" t="s">
        <v>364</v>
      </c>
      <c r="I83" s="214">
        <v>0.5</v>
      </c>
      <c r="J83" s="215" t="e">
        <f>+IF($K$79&gt;0,+$K$79-SUM(J79:J82),"")</f>
        <v>#VALUE!</v>
      </c>
      <c r="K83" s="347"/>
      <c r="L83" s="202"/>
    </row>
    <row r="84" spans="1:12" ht="15.75" customHeight="1" thickBot="1" x14ac:dyDescent="0.3">
      <c r="A84" s="147" t="str">
        <f>+'Anx I pg 1 oferta'!$B$18&amp;"T3_L02_inst_"&amp;B84&amp;"DA1"</f>
        <v>T3_L02_inst_L02-02DA1</v>
      </c>
      <c r="B84" s="348" t="s">
        <v>131</v>
      </c>
      <c r="C84" s="351" t="str">
        <f>+VLOOKUP(B84,'DATOS CENTROS'!B:E,2,FALSE)</f>
        <v>Torrero</v>
      </c>
      <c r="D84" s="354" t="str">
        <f>+VLOOKUP(B84,'DATOS CENTROS'!B:E,3,FALSE)</f>
        <v xml:space="preserve"> A + C</v>
      </c>
      <c r="E84" s="357" t="str">
        <f>+VLOOKUP(B84,'DATOS CENTROS'!B:E,4,FALSE)</f>
        <v>C.E. FM y OM TORRERO</v>
      </c>
      <c r="F84" s="360">
        <f>+VLOOKUP(B84,'DATOS CENTROS'!B:F,5,FALSE)</f>
        <v>0.113</v>
      </c>
      <c r="G84" s="342" t="str">
        <f>+IF(G31&gt;0,G31,"")</f>
        <v/>
      </c>
      <c r="H84" s="213" t="s">
        <v>25</v>
      </c>
      <c r="I84" s="214">
        <v>0.15</v>
      </c>
      <c r="J84" s="215" t="e">
        <f>+IF($K$84&gt;0,+ROUND($K$84*I84,0),"")</f>
        <v>#VALUE!</v>
      </c>
      <c r="K84" s="345" t="str">
        <f>+IFERROR(IF(OR($G$18=0,LEN($G$18)=0),"",IF(AND(M31="ok",(H31/H31)=1),N31,"")),"¿?")</f>
        <v/>
      </c>
      <c r="L84" s="202"/>
    </row>
    <row r="85" spans="1:12" ht="15.75" thickBot="1" x14ac:dyDescent="0.3">
      <c r="A85" s="147" t="str">
        <f>+'Anx I pg 1 oferta'!$B$18&amp;"T3_L02_inst_"&amp;B84&amp;"DA2"</f>
        <v>T3_L02_inst_L02-02DA2</v>
      </c>
      <c r="B85" s="349"/>
      <c r="C85" s="352"/>
      <c r="D85" s="355"/>
      <c r="E85" s="358"/>
      <c r="F85" s="361"/>
      <c r="G85" s="343"/>
      <c r="H85" s="213" t="s">
        <v>26</v>
      </c>
      <c r="I85" s="214">
        <v>0.1</v>
      </c>
      <c r="J85" s="215" t="e">
        <f t="shared" ref="J85:J87" si="1">+IF($K$84&gt;0,+ROUND($K$84*I85,0),"")</f>
        <v>#VALUE!</v>
      </c>
      <c r="K85" s="346"/>
      <c r="L85" s="202"/>
    </row>
    <row r="86" spans="1:12" ht="15.75" thickBot="1" x14ac:dyDescent="0.3">
      <c r="A86" s="147" t="str">
        <f>+'Anx I pg 1 oferta'!$B$18&amp;"T3_L02_inst_"&amp;B84&amp;"DA3"</f>
        <v>T3_L02_inst_L02-02DA3</v>
      </c>
      <c r="B86" s="349"/>
      <c r="C86" s="352"/>
      <c r="D86" s="355"/>
      <c r="E86" s="358"/>
      <c r="F86" s="361"/>
      <c r="G86" s="343"/>
      <c r="H86" s="213" t="s">
        <v>27</v>
      </c>
      <c r="I86" s="214">
        <v>0.2</v>
      </c>
      <c r="J86" s="215" t="e">
        <f t="shared" si="1"/>
        <v>#VALUE!</v>
      </c>
      <c r="K86" s="346"/>
      <c r="L86" s="202"/>
    </row>
    <row r="87" spans="1:12" ht="15.75" thickBot="1" x14ac:dyDescent="0.3">
      <c r="A87" s="147" t="str">
        <f>+'Anx I pg 1 oferta'!$B$18&amp;"T3_L02_inst_"&amp;B84&amp;"DA4"</f>
        <v>T3_L02_inst_L02-02DA4</v>
      </c>
      <c r="B87" s="349"/>
      <c r="C87" s="352"/>
      <c r="D87" s="355"/>
      <c r="E87" s="358"/>
      <c r="F87" s="361"/>
      <c r="G87" s="343"/>
      <c r="H87" s="213" t="s">
        <v>57</v>
      </c>
      <c r="I87" s="214">
        <v>0.05</v>
      </c>
      <c r="J87" s="215" t="e">
        <f t="shared" si="1"/>
        <v>#VALUE!</v>
      </c>
      <c r="K87" s="346"/>
      <c r="L87" s="202"/>
    </row>
    <row r="88" spans="1:12" ht="15.75" thickBot="1" x14ac:dyDescent="0.3">
      <c r="A88" s="147" t="str">
        <f>+'Anx I pg 1 oferta'!$B$18&amp;"T3_L02_inst_"&amp;B84&amp;"DA5"</f>
        <v>T3_L02_inst_L02-02DA5</v>
      </c>
      <c r="B88" s="350"/>
      <c r="C88" s="353"/>
      <c r="D88" s="356"/>
      <c r="E88" s="359"/>
      <c r="F88" s="362"/>
      <c r="G88" s="344"/>
      <c r="H88" s="213" t="s">
        <v>364</v>
      </c>
      <c r="I88" s="214">
        <v>0.5</v>
      </c>
      <c r="J88" s="215" t="e">
        <f>+IF($K$84&gt;0,+$K$84-SUM(J84:J87),"")</f>
        <v>#VALUE!</v>
      </c>
      <c r="K88" s="347"/>
      <c r="L88" s="202"/>
    </row>
    <row r="89" spans="1:12" ht="15.75" thickBot="1" x14ac:dyDescent="0.3">
      <c r="A89" s="147" t="str">
        <f>+'Anx I pg 1 oferta'!$B$18&amp;"T3_L02_inst_"&amp;B89&amp;"DA1"</f>
        <v>T3_L02_inst_L02-03DA1</v>
      </c>
      <c r="B89" s="348" t="s">
        <v>133</v>
      </c>
      <c r="C89" s="351" t="str">
        <f>+VLOOKUP(B89,'DATOS CENTROS'!B:E,2,FALSE)</f>
        <v>Sub-Edificio Dinamiza 3-B. Av. Pablo Ruiz de Picasso</v>
      </c>
      <c r="D89" s="354" t="str">
        <f>+VLOOKUP(B89,'DATOS CENTROS'!B:E,3,FALSE)</f>
        <v xml:space="preserve"> A + C</v>
      </c>
      <c r="E89" s="357" t="str">
        <f>+VLOOKUP(B89,'DATOS CENTROS'!B:E,4,FALSE)</f>
        <v>C.T. RTVE Aragón (Zaragoza)</v>
      </c>
      <c r="F89" s="360">
        <f>+VLOOKUP(B89,'DATOS CENTROS'!B:F,5,FALSE)</f>
        <v>0.13</v>
      </c>
      <c r="G89" s="342" t="str">
        <f>+IF(G33&gt;0,G33,"")</f>
        <v/>
      </c>
      <c r="H89" s="213" t="s">
        <v>25</v>
      </c>
      <c r="I89" s="214">
        <v>0.15</v>
      </c>
      <c r="J89" s="215" t="e">
        <f>+IF($K$89&gt;0,+ROUND($K$89*I89,0),"")</f>
        <v>#VALUE!</v>
      </c>
      <c r="K89" s="345" t="str">
        <f>+IFERROR(IF(OR($G$18=0,LEN($G$18)=0),"",IF(AND(M33="ok",(H33/H33)=1),N33,"")),"¿?")</f>
        <v/>
      </c>
      <c r="L89" s="202"/>
    </row>
    <row r="90" spans="1:12" ht="15.75" thickBot="1" x14ac:dyDescent="0.3">
      <c r="A90" s="147" t="str">
        <f>+'Anx I pg 1 oferta'!$B$18&amp;"T3_L02_inst_"&amp;B89&amp;"DA2"</f>
        <v>T3_L02_inst_L02-03DA2</v>
      </c>
      <c r="B90" s="349"/>
      <c r="C90" s="352"/>
      <c r="D90" s="355"/>
      <c r="E90" s="358"/>
      <c r="F90" s="361"/>
      <c r="G90" s="343"/>
      <c r="H90" s="213" t="s">
        <v>26</v>
      </c>
      <c r="I90" s="214">
        <v>0.1</v>
      </c>
      <c r="J90" s="215" t="e">
        <f t="shared" ref="J90:J92" si="2">+IF($K$89&gt;0,+ROUND($K$89*I90,0),"")</f>
        <v>#VALUE!</v>
      </c>
      <c r="K90" s="346"/>
      <c r="L90" s="202"/>
    </row>
    <row r="91" spans="1:12" ht="15.75" thickBot="1" x14ac:dyDescent="0.3">
      <c r="A91" s="147" t="str">
        <f>+'Anx I pg 1 oferta'!$B$18&amp;"T3_L02_inst_"&amp;B89&amp;"DA3"</f>
        <v>T3_L02_inst_L02-03DA3</v>
      </c>
      <c r="B91" s="349"/>
      <c r="C91" s="352"/>
      <c r="D91" s="355"/>
      <c r="E91" s="358"/>
      <c r="F91" s="361"/>
      <c r="G91" s="343"/>
      <c r="H91" s="213" t="s">
        <v>27</v>
      </c>
      <c r="I91" s="214">
        <v>0.2</v>
      </c>
      <c r="J91" s="215" t="e">
        <f t="shared" si="2"/>
        <v>#VALUE!</v>
      </c>
      <c r="K91" s="346"/>
      <c r="L91" s="202"/>
    </row>
    <row r="92" spans="1:12" ht="15.75" thickBot="1" x14ac:dyDescent="0.3">
      <c r="A92" s="147" t="str">
        <f>+'Anx I pg 1 oferta'!$B$18&amp;"T3_L02_inst_"&amp;B89&amp;"DA4"</f>
        <v>T3_L02_inst_L02-03DA4</v>
      </c>
      <c r="B92" s="349"/>
      <c r="C92" s="352"/>
      <c r="D92" s="355"/>
      <c r="E92" s="358"/>
      <c r="F92" s="361"/>
      <c r="G92" s="343"/>
      <c r="H92" s="213" t="s">
        <v>57</v>
      </c>
      <c r="I92" s="214">
        <v>0.05</v>
      </c>
      <c r="J92" s="215" t="e">
        <f t="shared" si="2"/>
        <v>#VALUE!</v>
      </c>
      <c r="K92" s="346"/>
      <c r="L92" s="202"/>
    </row>
    <row r="93" spans="1:12" ht="15.75" thickBot="1" x14ac:dyDescent="0.3">
      <c r="A93" s="147" t="str">
        <f>+'Anx I pg 1 oferta'!$B$18&amp;"T3_L02_inst_"&amp;B89&amp;"DA5"</f>
        <v>T3_L02_inst_L02-03DA5</v>
      </c>
      <c r="B93" s="350"/>
      <c r="C93" s="353"/>
      <c r="D93" s="356"/>
      <c r="E93" s="359"/>
      <c r="F93" s="362"/>
      <c r="G93" s="344"/>
      <c r="H93" s="213" t="s">
        <v>364</v>
      </c>
      <c r="I93" s="214">
        <v>0.5</v>
      </c>
      <c r="J93" s="215" t="e">
        <f>+IF($K$89&gt;0,+$K$89-SUM(J89:J92),"")</f>
        <v>#VALUE!</v>
      </c>
      <c r="K93" s="347"/>
      <c r="L93" s="202"/>
    </row>
    <row r="94" spans="1:12" ht="15.75" thickBot="1" x14ac:dyDescent="0.3">
      <c r="A94" s="147" t="str">
        <f>+'Anx I pg 1 oferta'!$B$18&amp;"T3_L02_inst_"&amp;B94&amp;"DA1"</f>
        <v>T3_L02_inst_L02-04DA1</v>
      </c>
      <c r="B94" s="348" t="s">
        <v>135</v>
      </c>
      <c r="C94" s="351" t="str">
        <f>+VLOOKUP(B94,'DATOS CENTROS'!B:E,2,FALSE)</f>
        <v>Calle  Albareda 1 Planta 3ª y 4ª  50004</v>
      </c>
      <c r="D94" s="354" t="str">
        <f>+VLOOKUP(B94,'DATOS CENTROS'!B:E,3,FALSE)</f>
        <v>C</v>
      </c>
      <c r="E94" s="357" t="str">
        <f>+VLOOKUP(B94,'DATOS CENTROS'!B:E,4,FALSE)</f>
        <v>S.U. Zaragoza</v>
      </c>
      <c r="F94" s="360">
        <f>+VLOOKUP(B94,'DATOS CENTROS'!B:F,5,FALSE)</f>
        <v>3.5000000000000003E-2</v>
      </c>
      <c r="G94" s="342" t="str">
        <f>+IF(G35&gt;0,G35,"")</f>
        <v/>
      </c>
      <c r="H94" s="213" t="s">
        <v>25</v>
      </c>
      <c r="I94" s="214">
        <v>0.15</v>
      </c>
      <c r="J94" s="215" t="e">
        <f>+IF($K$94&gt;0,+ROUND($K$94*I94,0),"")</f>
        <v>#VALUE!</v>
      </c>
      <c r="K94" s="345" t="str">
        <f>+IFERROR(IF(OR($G$18=0,LEN($G$18)=0),"",IF(AND(M35="ok",(H35/H35)=1),N35,"")),"¿?")</f>
        <v/>
      </c>
      <c r="L94" s="202"/>
    </row>
    <row r="95" spans="1:12" ht="15.75" thickBot="1" x14ac:dyDescent="0.3">
      <c r="A95" s="147" t="str">
        <f>+'Anx I pg 1 oferta'!$B$18&amp;"T3_L02_inst_"&amp;B94&amp;"DA2"</f>
        <v>T3_L02_inst_L02-04DA2</v>
      </c>
      <c r="B95" s="349"/>
      <c r="C95" s="352"/>
      <c r="D95" s="355"/>
      <c r="E95" s="358"/>
      <c r="F95" s="361"/>
      <c r="G95" s="343"/>
      <c r="H95" s="213" t="s">
        <v>26</v>
      </c>
      <c r="I95" s="214">
        <v>0.1</v>
      </c>
      <c r="J95" s="215" t="e">
        <f t="shared" ref="J95:J97" si="3">+IF($K$94&gt;0,+ROUND($K$94*I95,0),"")</f>
        <v>#VALUE!</v>
      </c>
      <c r="K95" s="346"/>
      <c r="L95" s="202"/>
    </row>
    <row r="96" spans="1:12" ht="15.75" thickBot="1" x14ac:dyDescent="0.3">
      <c r="A96" s="147" t="str">
        <f>+'Anx I pg 1 oferta'!$B$18&amp;"T3_L02_inst_"&amp;B94&amp;"DA3"</f>
        <v>T3_L02_inst_L02-04DA3</v>
      </c>
      <c r="B96" s="349"/>
      <c r="C96" s="352"/>
      <c r="D96" s="355"/>
      <c r="E96" s="358"/>
      <c r="F96" s="361"/>
      <c r="G96" s="343"/>
      <c r="H96" s="213" t="s">
        <v>27</v>
      </c>
      <c r="I96" s="214">
        <v>0.2</v>
      </c>
      <c r="J96" s="215" t="e">
        <f t="shared" si="3"/>
        <v>#VALUE!</v>
      </c>
      <c r="K96" s="346"/>
      <c r="L96" s="202"/>
    </row>
    <row r="97" spans="1:12" ht="15.75" thickBot="1" x14ac:dyDescent="0.3">
      <c r="A97" s="147" t="str">
        <f>+'Anx I pg 1 oferta'!$B$18&amp;"T3_L02_inst_"&amp;B94&amp;"DA4"</f>
        <v>T3_L02_inst_L02-04DA4</v>
      </c>
      <c r="B97" s="349"/>
      <c r="C97" s="352"/>
      <c r="D97" s="355"/>
      <c r="E97" s="358"/>
      <c r="F97" s="361"/>
      <c r="G97" s="343"/>
      <c r="H97" s="213" t="s">
        <v>57</v>
      </c>
      <c r="I97" s="214">
        <v>0.05</v>
      </c>
      <c r="J97" s="215" t="e">
        <f t="shared" si="3"/>
        <v>#VALUE!</v>
      </c>
      <c r="K97" s="346"/>
      <c r="L97" s="202"/>
    </row>
    <row r="98" spans="1:12" ht="15.75" thickBot="1" x14ac:dyDescent="0.3">
      <c r="A98" s="147" t="str">
        <f>+'Anx I pg 1 oferta'!$B$18&amp;"T3_L02_inst_"&amp;B94&amp;"DA5"</f>
        <v>T3_L02_inst_L02-04DA5</v>
      </c>
      <c r="B98" s="350"/>
      <c r="C98" s="353"/>
      <c r="D98" s="356"/>
      <c r="E98" s="359"/>
      <c r="F98" s="362"/>
      <c r="G98" s="344"/>
      <c r="H98" s="213" t="s">
        <v>364</v>
      </c>
      <c r="I98" s="214">
        <v>0.5</v>
      </c>
      <c r="J98" s="215" t="e">
        <f>+IF($K$94&gt;0,+$K$94-SUM(J94:J97),"")</f>
        <v>#VALUE!</v>
      </c>
      <c r="K98" s="347"/>
      <c r="L98" s="202"/>
    </row>
    <row r="99" spans="1:12" ht="15.75" thickBot="1" x14ac:dyDescent="0.3">
      <c r="A99" s="147" t="str">
        <f>+'Anx I pg 1 oferta'!$B$18&amp;"T3_L02_inst_"&amp;B99&amp;"DA1"</f>
        <v>T3_L02_inst_L02-05DA1</v>
      </c>
      <c r="B99" s="348" t="s">
        <v>137</v>
      </c>
      <c r="C99" s="351" t="str">
        <f>+VLOOKUP(B99,'DATOS CENTROS'!B:E,2,FALSE)</f>
        <v>Calle  José Gil Cavez 1   22005</v>
      </c>
      <c r="D99" s="354" t="str">
        <f>+VLOOKUP(B99,'DATOS CENTROS'!B:E,3,FALSE)</f>
        <v>C</v>
      </c>
      <c r="E99" s="357" t="str">
        <f>+VLOOKUP(B99,'DATOS CENTROS'!B:E,4,FALSE)</f>
        <v>U.I. RTVE Huesca</v>
      </c>
      <c r="F99" s="360">
        <f>+VLOOKUP(B99,'DATOS CENTROS'!B:F,5,FALSE)</f>
        <v>2.5000000000000001E-2</v>
      </c>
      <c r="G99" s="342" t="str">
        <f>+IF(G37&gt;0,G37,"")</f>
        <v/>
      </c>
      <c r="H99" s="213" t="s">
        <v>25</v>
      </c>
      <c r="I99" s="214">
        <v>0.15</v>
      </c>
      <c r="J99" s="215" t="e">
        <f>+IF($K$99&gt;0,+ROUND($K$99*I99,0),"")</f>
        <v>#VALUE!</v>
      </c>
      <c r="K99" s="345" t="str">
        <f>+IFERROR(IF(OR($G$18=0,LEN($G$18)=0),"",IF(AND(M37="ok",(H37/H37)=1),N37,"")),"¿?")</f>
        <v/>
      </c>
      <c r="L99" s="202"/>
    </row>
    <row r="100" spans="1:12" ht="15.75" thickBot="1" x14ac:dyDescent="0.3">
      <c r="A100" s="147" t="str">
        <f>+'Anx I pg 1 oferta'!$B$18&amp;"T3_L02_inst_"&amp;B99&amp;"DA2"</f>
        <v>T3_L02_inst_L02-05DA2</v>
      </c>
      <c r="B100" s="349"/>
      <c r="C100" s="352"/>
      <c r="D100" s="355"/>
      <c r="E100" s="358"/>
      <c r="F100" s="361"/>
      <c r="G100" s="343"/>
      <c r="H100" s="213" t="s">
        <v>26</v>
      </c>
      <c r="I100" s="214">
        <v>0.1</v>
      </c>
      <c r="J100" s="215" t="e">
        <f t="shared" ref="J100:J102" si="4">+IF($K$99&gt;0,+ROUND($K$99*I100,0),"")</f>
        <v>#VALUE!</v>
      </c>
      <c r="K100" s="346"/>
      <c r="L100" s="202"/>
    </row>
    <row r="101" spans="1:12" ht="15.75" thickBot="1" x14ac:dyDescent="0.3">
      <c r="A101" s="147" t="str">
        <f>+'Anx I pg 1 oferta'!$B$18&amp;"T3_L02_inst_"&amp;B99&amp;"DA3"</f>
        <v>T3_L02_inst_L02-05DA3</v>
      </c>
      <c r="B101" s="349"/>
      <c r="C101" s="352"/>
      <c r="D101" s="355"/>
      <c r="E101" s="358"/>
      <c r="F101" s="361"/>
      <c r="G101" s="343"/>
      <c r="H101" s="213" t="s">
        <v>27</v>
      </c>
      <c r="I101" s="214">
        <v>0.2</v>
      </c>
      <c r="J101" s="215" t="e">
        <f t="shared" si="4"/>
        <v>#VALUE!</v>
      </c>
      <c r="K101" s="346"/>
      <c r="L101" s="202"/>
    </row>
    <row r="102" spans="1:12" ht="15.75" thickBot="1" x14ac:dyDescent="0.3">
      <c r="A102" s="147" t="str">
        <f>+'Anx I pg 1 oferta'!$B$18&amp;"T3_L02_inst_"&amp;B99&amp;"DA4"</f>
        <v>T3_L02_inst_L02-05DA4</v>
      </c>
      <c r="B102" s="349"/>
      <c r="C102" s="352"/>
      <c r="D102" s="355"/>
      <c r="E102" s="358"/>
      <c r="F102" s="361"/>
      <c r="G102" s="343"/>
      <c r="H102" s="213" t="s">
        <v>57</v>
      </c>
      <c r="I102" s="214">
        <v>0.05</v>
      </c>
      <c r="J102" s="215" t="e">
        <f t="shared" si="4"/>
        <v>#VALUE!</v>
      </c>
      <c r="K102" s="346"/>
      <c r="L102" s="202"/>
    </row>
    <row r="103" spans="1:12" ht="15.75" thickBot="1" x14ac:dyDescent="0.3">
      <c r="A103" s="147" t="str">
        <f>+'Anx I pg 1 oferta'!$B$18&amp;"T3_L02_inst_"&amp;B99&amp;"DA5"</f>
        <v>T3_L02_inst_L02-05DA5</v>
      </c>
      <c r="B103" s="350"/>
      <c r="C103" s="353"/>
      <c r="D103" s="356"/>
      <c r="E103" s="359"/>
      <c r="F103" s="362"/>
      <c r="G103" s="344"/>
      <c r="H103" s="213" t="s">
        <v>364</v>
      </c>
      <c r="I103" s="214">
        <v>0.5</v>
      </c>
      <c r="J103" s="215" t="e">
        <f>+IF($K$99&gt;0,+$K$99-SUM(J99:J102),"")</f>
        <v>#VALUE!</v>
      </c>
      <c r="K103" s="347"/>
      <c r="L103" s="202"/>
    </row>
    <row r="104" spans="1:12" ht="15.75" thickBot="1" x14ac:dyDescent="0.3">
      <c r="A104" s="147" t="str">
        <f>+'Anx I pg 1 oferta'!$B$18&amp;"T3_L02_inst_"&amp;B104&amp;"DA1"</f>
        <v>T3_L02_inst_L02-06DA1</v>
      </c>
      <c r="B104" s="348" t="s">
        <v>139</v>
      </c>
      <c r="C104" s="351" t="str">
        <f>+VLOOKUP(B104,'DATOS CENTROS'!B:E,2,FALSE)</f>
        <v>Calle  Nueva 1 Planta 3ª. Plaza Carlos Castell, 15  44001</v>
      </c>
      <c r="D104" s="354" t="str">
        <f>+VLOOKUP(B104,'DATOS CENTROS'!B:E,3,FALSE)</f>
        <v>C</v>
      </c>
      <c r="E104" s="357" t="str">
        <f>+VLOOKUP(B104,'DATOS CENTROS'!B:E,4,FALSE)</f>
        <v>U.I. RTVE Teruel</v>
      </c>
      <c r="F104" s="360">
        <f>+VLOOKUP(B104,'DATOS CENTROS'!B:F,5,FALSE)</f>
        <v>2.1000000000000001E-2</v>
      </c>
      <c r="G104" s="342" t="str">
        <f>+IF(G39&gt;0,G39,"")</f>
        <v/>
      </c>
      <c r="H104" s="213" t="s">
        <v>25</v>
      </c>
      <c r="I104" s="214">
        <v>0.15</v>
      </c>
      <c r="J104" s="215" t="e">
        <f>+IF($K$104&gt;0,+ROUND($K$104*I104,0),"")</f>
        <v>#VALUE!</v>
      </c>
      <c r="K104" s="345" t="str">
        <f>+IFERROR(IF(OR($G$18=0,LEN($G$18)=0),"",IF(AND(M39="ok",(H39/H39)=1),N39,"")),"¿?")</f>
        <v/>
      </c>
      <c r="L104" s="202"/>
    </row>
    <row r="105" spans="1:12" ht="15.75" thickBot="1" x14ac:dyDescent="0.3">
      <c r="A105" s="147" t="str">
        <f>+'Anx I pg 1 oferta'!$B$18&amp;"T3_L02_inst_"&amp;B104&amp;"DA2"</f>
        <v>T3_L02_inst_L02-06DA2</v>
      </c>
      <c r="B105" s="349"/>
      <c r="C105" s="352"/>
      <c r="D105" s="355"/>
      <c r="E105" s="358"/>
      <c r="F105" s="361"/>
      <c r="G105" s="343"/>
      <c r="H105" s="213" t="s">
        <v>26</v>
      </c>
      <c r="I105" s="214">
        <v>0.1</v>
      </c>
      <c r="J105" s="215" t="e">
        <f t="shared" ref="J105:J107" si="5">+IF($K$104&gt;0,+ROUND($K$104*I105,0),"")</f>
        <v>#VALUE!</v>
      </c>
      <c r="K105" s="346"/>
      <c r="L105" s="202"/>
    </row>
    <row r="106" spans="1:12" ht="15.75" thickBot="1" x14ac:dyDescent="0.3">
      <c r="A106" s="147" t="str">
        <f>+'Anx I pg 1 oferta'!$B$18&amp;"T3_L02_inst_"&amp;B104&amp;"DA3"</f>
        <v>T3_L02_inst_L02-06DA3</v>
      </c>
      <c r="B106" s="349"/>
      <c r="C106" s="352"/>
      <c r="D106" s="355"/>
      <c r="E106" s="358"/>
      <c r="F106" s="361"/>
      <c r="G106" s="343"/>
      <c r="H106" s="213" t="s">
        <v>27</v>
      </c>
      <c r="I106" s="214">
        <v>0.2</v>
      </c>
      <c r="J106" s="215" t="e">
        <f t="shared" si="5"/>
        <v>#VALUE!</v>
      </c>
      <c r="K106" s="346"/>
      <c r="L106" s="202"/>
    </row>
    <row r="107" spans="1:12" ht="15.75" thickBot="1" x14ac:dyDescent="0.3">
      <c r="A107" s="147" t="str">
        <f>+'Anx I pg 1 oferta'!$B$18&amp;"T3_L02_inst_"&amp;B104&amp;"DA4"</f>
        <v>T3_L02_inst_L02-06DA4</v>
      </c>
      <c r="B107" s="349"/>
      <c r="C107" s="352"/>
      <c r="D107" s="355"/>
      <c r="E107" s="358"/>
      <c r="F107" s="361"/>
      <c r="G107" s="343"/>
      <c r="H107" s="213" t="s">
        <v>57</v>
      </c>
      <c r="I107" s="214">
        <v>0.05</v>
      </c>
      <c r="J107" s="215" t="e">
        <f t="shared" si="5"/>
        <v>#VALUE!</v>
      </c>
      <c r="K107" s="346"/>
      <c r="L107" s="202"/>
    </row>
    <row r="108" spans="1:12" ht="15.75" thickBot="1" x14ac:dyDescent="0.3">
      <c r="A108" s="147" t="str">
        <f>+'Anx I pg 1 oferta'!$B$18&amp;"T3_L02_inst_"&amp;B104&amp;"DA5"</f>
        <v>T3_L02_inst_L02-06DA5</v>
      </c>
      <c r="B108" s="350"/>
      <c r="C108" s="353"/>
      <c r="D108" s="356"/>
      <c r="E108" s="359"/>
      <c r="F108" s="362"/>
      <c r="G108" s="344"/>
      <c r="H108" s="213" t="s">
        <v>364</v>
      </c>
      <c r="I108" s="214">
        <v>0.5</v>
      </c>
      <c r="J108" s="215" t="e">
        <f>+IF($K$104&gt;0,+$K$104-SUM(J104:J107),"")</f>
        <v>#VALUE!</v>
      </c>
      <c r="K108" s="347"/>
      <c r="L108" s="202"/>
    </row>
    <row r="109" spans="1:12" ht="15.75" thickBot="1" x14ac:dyDescent="0.3">
      <c r="A109" s="147" t="str">
        <f>+'Anx I pg 1 oferta'!$B$18&amp;"T3_L02_cab2(CA)"</f>
        <v>T3_L02_cab2(CA)</v>
      </c>
      <c r="B109" s="209" t="s">
        <v>390</v>
      </c>
      <c r="C109" s="210" t="s">
        <v>141</v>
      </c>
      <c r="D109" s="211"/>
      <c r="E109" s="211"/>
      <c r="F109" s="211"/>
      <c r="G109" s="211"/>
      <c r="H109" s="211"/>
      <c r="I109" s="211"/>
      <c r="J109" s="211"/>
    </row>
    <row r="110" spans="1:12" ht="15.75" customHeight="1" thickBot="1" x14ac:dyDescent="0.3">
      <c r="A110" s="147" t="str">
        <f>+'Anx I pg 1 oferta'!$B$18&amp;"T3_L02_inst_"&amp;B110&amp;"DA1"</f>
        <v>T3_L02_inst_L02-07DA1</v>
      </c>
      <c r="B110" s="348" t="s">
        <v>142</v>
      </c>
      <c r="C110" s="351" t="str">
        <f>+VLOOKUP(B110,'DATOS CENTROS'!B:E,2,FALSE)</f>
        <v>C/. Aoiz, 17</v>
      </c>
      <c r="D110" s="354" t="str">
        <f>+VLOOKUP(B110,'DATOS CENTROS'!B:E,3,FALSE)</f>
        <v xml:space="preserve"> A + C</v>
      </c>
      <c r="E110" s="357" t="str">
        <f>+VLOOKUP(B110,'DATOS CENTROS'!B:E,4,FALSE)</f>
        <v>C.T. RTVE Pamplona</v>
      </c>
      <c r="F110" s="360">
        <f>+VLOOKUP(B110,'DATOS CENTROS'!B:F,5,FALSE)</f>
        <v>0.113</v>
      </c>
      <c r="G110" s="342" t="str">
        <f>+IF(G42&gt;0,G42,"")</f>
        <v/>
      </c>
      <c r="H110" s="213" t="s">
        <v>25</v>
      </c>
      <c r="I110" s="214">
        <v>0.15</v>
      </c>
      <c r="J110" s="215" t="e">
        <f>+IF($K$110&gt;0,+ROUND($K$110*I110,0),"")</f>
        <v>#VALUE!</v>
      </c>
      <c r="K110" s="345" t="str">
        <f>+IFERROR(IF(OR($G$18=0,LEN($G$18)=0),"",IF(AND(M42="ok",(H42/H42)=1),N42,"")),"¿?")</f>
        <v/>
      </c>
      <c r="L110" s="202"/>
    </row>
    <row r="111" spans="1:12" ht="15.75" thickBot="1" x14ac:dyDescent="0.3">
      <c r="A111" s="147" t="str">
        <f>+'Anx I pg 1 oferta'!$B$18&amp;"T3_L02_inst_"&amp;B110&amp;"DA2"</f>
        <v>T3_L02_inst_L02-07DA2</v>
      </c>
      <c r="B111" s="349"/>
      <c r="C111" s="352"/>
      <c r="D111" s="355"/>
      <c r="E111" s="358"/>
      <c r="F111" s="361"/>
      <c r="G111" s="343"/>
      <c r="H111" s="213" t="s">
        <v>26</v>
      </c>
      <c r="I111" s="214">
        <v>0.1</v>
      </c>
      <c r="J111" s="215" t="e">
        <f t="shared" ref="J111:J113" si="6">+IF($K$110&gt;0,+ROUND($K$110*I111,0),"")</f>
        <v>#VALUE!</v>
      </c>
      <c r="K111" s="346"/>
      <c r="L111" s="202"/>
    </row>
    <row r="112" spans="1:12" ht="15.75" thickBot="1" x14ac:dyDescent="0.3">
      <c r="A112" s="147" t="str">
        <f>+'Anx I pg 1 oferta'!$B$18&amp;"T3_L02_inst_"&amp;B110&amp;"DA3"</f>
        <v>T3_L02_inst_L02-07DA3</v>
      </c>
      <c r="B112" s="349"/>
      <c r="C112" s="352"/>
      <c r="D112" s="355"/>
      <c r="E112" s="358"/>
      <c r="F112" s="361"/>
      <c r="G112" s="343"/>
      <c r="H112" s="213" t="s">
        <v>27</v>
      </c>
      <c r="I112" s="214">
        <v>0.2</v>
      </c>
      <c r="J112" s="215" t="e">
        <f t="shared" si="6"/>
        <v>#VALUE!</v>
      </c>
      <c r="K112" s="346"/>
      <c r="L112" s="202"/>
    </row>
    <row r="113" spans="1:12" ht="15.75" thickBot="1" x14ac:dyDescent="0.3">
      <c r="A113" s="147" t="str">
        <f>+'Anx I pg 1 oferta'!$B$18&amp;"T3_L02_inst_"&amp;B110&amp;"DA4"</f>
        <v>T3_L02_inst_L02-07DA4</v>
      </c>
      <c r="B113" s="349"/>
      <c r="C113" s="352"/>
      <c r="D113" s="355"/>
      <c r="E113" s="358"/>
      <c r="F113" s="361"/>
      <c r="G113" s="343"/>
      <c r="H113" s="213" t="s">
        <v>57</v>
      </c>
      <c r="I113" s="214">
        <v>0.05</v>
      </c>
      <c r="J113" s="215" t="e">
        <f t="shared" si="6"/>
        <v>#VALUE!</v>
      </c>
      <c r="K113" s="346"/>
      <c r="L113" s="202"/>
    </row>
    <row r="114" spans="1:12" ht="15.75" thickBot="1" x14ac:dyDescent="0.3">
      <c r="A114" s="147" t="str">
        <f>+'Anx I pg 1 oferta'!$B$18&amp;"T3_L02_inst_"&amp;B110&amp;"DA5"</f>
        <v>T3_L02_inst_L02-07DA5</v>
      </c>
      <c r="B114" s="350"/>
      <c r="C114" s="353"/>
      <c r="D114" s="356"/>
      <c r="E114" s="359"/>
      <c r="F114" s="362"/>
      <c r="G114" s="344"/>
      <c r="H114" s="213" t="s">
        <v>364</v>
      </c>
      <c r="I114" s="214">
        <v>0.5</v>
      </c>
      <c r="J114" s="215" t="e">
        <f>+IF($K$110&gt;0,+$K$110-SUM(J110:J113),"")</f>
        <v>#VALUE!</v>
      </c>
      <c r="K114" s="347"/>
      <c r="L114" s="202"/>
    </row>
    <row r="115" spans="1:12" ht="15.75" thickBot="1" x14ac:dyDescent="0.3">
      <c r="A115" s="147" t="str">
        <f>+'Anx I pg 1 oferta'!$B$18&amp;"T3_L02_inst_"&amp;B115&amp;"DA1"</f>
        <v>T3_L02_inst_L02-08DA1</v>
      </c>
      <c r="B115" s="348" t="s">
        <v>144</v>
      </c>
      <c r="C115" s="351" t="str">
        <f>+VLOOKUP(B115,'DATOS CENTROS'!B:E,2,FALSE)</f>
        <v>Calle  Abejeras 3 Plta. 1ª, Pta. Dcha  31007</v>
      </c>
      <c r="D115" s="354" t="str">
        <f>+VLOOKUP(B115,'DATOS CENTROS'!B:E,3,FALSE)</f>
        <v>C</v>
      </c>
      <c r="E115" s="357" t="str">
        <f>+VLOOKUP(B115,'DATOS CENTROS'!B:E,4,FALSE)</f>
        <v>S.U. Pamplona (Abejeras)</v>
      </c>
      <c r="F115" s="360">
        <f>+VLOOKUP(B115,'DATOS CENTROS'!B:F,5,FALSE)</f>
        <v>1.7999999999999999E-2</v>
      </c>
      <c r="G115" s="342" t="str">
        <f>+IF(G44&gt;0,G44,"")</f>
        <v/>
      </c>
      <c r="H115" s="213" t="s">
        <v>25</v>
      </c>
      <c r="I115" s="214">
        <v>0.15</v>
      </c>
      <c r="J115" s="215" t="e">
        <f>+IF($K$115&gt;0,+ROUND($K$115*I115,0),"")</f>
        <v>#VALUE!</v>
      </c>
      <c r="K115" s="345" t="str">
        <f>+IFERROR(IF(OR($G$18=0,LEN($G$18)=0),"",IF(AND(M44="ok",(H44/H44)=1),N44,"")),"¿?")</f>
        <v/>
      </c>
      <c r="L115" s="202"/>
    </row>
    <row r="116" spans="1:12" ht="15.75" thickBot="1" x14ac:dyDescent="0.3">
      <c r="A116" s="147" t="str">
        <f>+'Anx I pg 1 oferta'!$B$18&amp;"T3_L02_inst_"&amp;B115&amp;"DA2"</f>
        <v>T3_L02_inst_L02-08DA2</v>
      </c>
      <c r="B116" s="349"/>
      <c r="C116" s="352"/>
      <c r="D116" s="355"/>
      <c r="E116" s="358"/>
      <c r="F116" s="361"/>
      <c r="G116" s="343"/>
      <c r="H116" s="213" t="s">
        <v>26</v>
      </c>
      <c r="I116" s="214">
        <v>0.1</v>
      </c>
      <c r="J116" s="215" t="e">
        <f t="shared" ref="J116:J118" si="7">+IF($K$115&gt;0,+ROUND($K$115*I116,0),"")</f>
        <v>#VALUE!</v>
      </c>
      <c r="K116" s="346"/>
      <c r="L116" s="202"/>
    </row>
    <row r="117" spans="1:12" ht="15.75" thickBot="1" x14ac:dyDescent="0.3">
      <c r="A117" s="147" t="str">
        <f>+'Anx I pg 1 oferta'!$B$18&amp;"T3_L02_inst_"&amp;B115&amp;"DA3"</f>
        <v>T3_L02_inst_L02-08DA3</v>
      </c>
      <c r="B117" s="349"/>
      <c r="C117" s="352"/>
      <c r="D117" s="355"/>
      <c r="E117" s="358"/>
      <c r="F117" s="361"/>
      <c r="G117" s="343"/>
      <c r="H117" s="213" t="s">
        <v>27</v>
      </c>
      <c r="I117" s="214">
        <v>0.2</v>
      </c>
      <c r="J117" s="215" t="e">
        <f t="shared" si="7"/>
        <v>#VALUE!</v>
      </c>
      <c r="K117" s="346"/>
      <c r="L117" s="202"/>
    </row>
    <row r="118" spans="1:12" ht="15.75" thickBot="1" x14ac:dyDescent="0.3">
      <c r="A118" s="147" t="str">
        <f>+'Anx I pg 1 oferta'!$B$18&amp;"T3_L02_inst_"&amp;B115&amp;"DA4"</f>
        <v>T3_L02_inst_L02-08DA4</v>
      </c>
      <c r="B118" s="349"/>
      <c r="C118" s="352"/>
      <c r="D118" s="355"/>
      <c r="E118" s="358"/>
      <c r="F118" s="361"/>
      <c r="G118" s="343"/>
      <c r="H118" s="213" t="s">
        <v>57</v>
      </c>
      <c r="I118" s="214">
        <v>0.05</v>
      </c>
      <c r="J118" s="215" t="e">
        <f t="shared" si="7"/>
        <v>#VALUE!</v>
      </c>
      <c r="K118" s="346"/>
      <c r="L118" s="202"/>
    </row>
    <row r="119" spans="1:12" ht="15.75" thickBot="1" x14ac:dyDescent="0.3">
      <c r="A119" s="147" t="str">
        <f>+'Anx I pg 1 oferta'!$B$18&amp;"T3_L02_inst_"&amp;B115&amp;"DA5"</f>
        <v>T3_L02_inst_L02-08DA5</v>
      </c>
      <c r="B119" s="350"/>
      <c r="C119" s="353"/>
      <c r="D119" s="356"/>
      <c r="E119" s="359"/>
      <c r="F119" s="362"/>
      <c r="G119" s="344"/>
      <c r="H119" s="213" t="s">
        <v>364</v>
      </c>
      <c r="I119" s="214">
        <v>0.5</v>
      </c>
      <c r="J119" s="215" t="e">
        <f>+IF($K$115&gt;0,+$K$115-SUM(J115:J118),"")</f>
        <v>#VALUE!</v>
      </c>
      <c r="K119" s="347"/>
      <c r="L119" s="202"/>
    </row>
    <row r="120" spans="1:12" ht="15.75" thickBot="1" x14ac:dyDescent="0.3">
      <c r="A120" s="147" t="str">
        <f>+'Anx I pg 1 oferta'!$B$18&amp;"T3_L02_cab3(CA)"</f>
        <v>T3_L02_cab3(CA)</v>
      </c>
      <c r="B120" s="209" t="s">
        <v>390</v>
      </c>
      <c r="C120" s="210" t="s">
        <v>146</v>
      </c>
      <c r="D120" s="211"/>
      <c r="E120" s="211"/>
      <c r="F120" s="211"/>
      <c r="G120" s="211"/>
      <c r="H120" s="211"/>
      <c r="I120" s="211"/>
      <c r="J120" s="211"/>
    </row>
    <row r="121" spans="1:12" ht="15.75" thickBot="1" x14ac:dyDescent="0.3">
      <c r="A121" s="147" t="str">
        <f>+'Anx I pg 1 oferta'!$B$18&amp;"T3_L02_inst_"&amp;B121&amp;"DA1"</f>
        <v>T3_L02_inst_L02-09DA1</v>
      </c>
      <c r="B121" s="348" t="s">
        <v>147</v>
      </c>
      <c r="C121" s="351" t="str">
        <f>+VLOOKUP(B121,'DATOS CENTROS'!B:E,2,FALSE)</f>
        <v>La Grajera</v>
      </c>
      <c r="D121" s="354" t="str">
        <f>+VLOOKUP(B121,'DATOS CENTROS'!B:E,3,FALSE)</f>
        <v xml:space="preserve"> A + C</v>
      </c>
      <c r="E121" s="357" t="str">
        <f>+VLOOKUP(B121,'DATOS CENTROS'!B:E,4,FALSE)</f>
        <v>C.E. OM LA GRAJERA</v>
      </c>
      <c r="F121" s="360">
        <f>+VLOOKUP(B121,'DATOS CENTROS'!B:F,5,FALSE)</f>
        <v>0.13</v>
      </c>
      <c r="G121" s="342" t="str">
        <f>+IF(G47&gt;0,G47,"")</f>
        <v/>
      </c>
      <c r="H121" s="213" t="s">
        <v>25</v>
      </c>
      <c r="I121" s="214">
        <v>0.15</v>
      </c>
      <c r="J121" s="215" t="e">
        <f>+IF($K$121&gt;0,+ROUND($K$121*I121,0),"")</f>
        <v>#VALUE!</v>
      </c>
      <c r="K121" s="345" t="str">
        <f>+IFERROR(IF(OR($G$18=0,LEN($G$18)=0),"",IF(AND(M47="ok",(H47/H47)=1),N47,"")),"¿?")</f>
        <v/>
      </c>
      <c r="L121" s="202"/>
    </row>
    <row r="122" spans="1:12" ht="15.75" thickBot="1" x14ac:dyDescent="0.3">
      <c r="A122" s="147" t="str">
        <f>+'Anx I pg 1 oferta'!$B$18&amp;"T3_L02_inst_"&amp;B121&amp;"DA2"</f>
        <v>T3_L02_inst_L02-09DA2</v>
      </c>
      <c r="B122" s="349"/>
      <c r="C122" s="352"/>
      <c r="D122" s="355"/>
      <c r="E122" s="358"/>
      <c r="F122" s="361"/>
      <c r="G122" s="343"/>
      <c r="H122" s="213" t="s">
        <v>26</v>
      </c>
      <c r="I122" s="214">
        <v>0.1</v>
      </c>
      <c r="J122" s="215" t="e">
        <f t="shared" ref="J122:J124" si="8">+IF($K$121&gt;0,+ROUND($K$121*I122,0),"")</f>
        <v>#VALUE!</v>
      </c>
      <c r="K122" s="346"/>
      <c r="L122" s="202"/>
    </row>
    <row r="123" spans="1:12" ht="15.75" thickBot="1" x14ac:dyDescent="0.3">
      <c r="A123" s="147" t="str">
        <f>+'Anx I pg 1 oferta'!$B$18&amp;"T3_L02_inst_"&amp;B121&amp;"DA3"</f>
        <v>T3_L02_inst_L02-09DA3</v>
      </c>
      <c r="B123" s="349"/>
      <c r="C123" s="352"/>
      <c r="D123" s="355"/>
      <c r="E123" s="358"/>
      <c r="F123" s="361"/>
      <c r="G123" s="343"/>
      <c r="H123" s="213" t="s">
        <v>27</v>
      </c>
      <c r="I123" s="214">
        <v>0.2</v>
      </c>
      <c r="J123" s="215" t="e">
        <f t="shared" si="8"/>
        <v>#VALUE!</v>
      </c>
      <c r="K123" s="346"/>
      <c r="L123" s="202"/>
    </row>
    <row r="124" spans="1:12" ht="15.75" thickBot="1" x14ac:dyDescent="0.3">
      <c r="A124" s="147" t="str">
        <f>+'Anx I pg 1 oferta'!$B$18&amp;"T3_L02_inst_"&amp;B121&amp;"DA4"</f>
        <v>T3_L02_inst_L02-09DA4</v>
      </c>
      <c r="B124" s="349"/>
      <c r="C124" s="352"/>
      <c r="D124" s="355"/>
      <c r="E124" s="358"/>
      <c r="F124" s="361"/>
      <c r="G124" s="343"/>
      <c r="H124" s="213" t="s">
        <v>57</v>
      </c>
      <c r="I124" s="214">
        <v>0.05</v>
      </c>
      <c r="J124" s="215" t="e">
        <f t="shared" si="8"/>
        <v>#VALUE!</v>
      </c>
      <c r="K124" s="346"/>
      <c r="L124" s="202"/>
    </row>
    <row r="125" spans="1:12" ht="15.75" thickBot="1" x14ac:dyDescent="0.3">
      <c r="A125" s="147" t="str">
        <f>+'Anx I pg 1 oferta'!$B$18&amp;"T3_L02_inst_"&amp;B121&amp;"DA5"</f>
        <v>T3_L02_inst_L02-09DA5</v>
      </c>
      <c r="B125" s="350"/>
      <c r="C125" s="353"/>
      <c r="D125" s="356"/>
      <c r="E125" s="359"/>
      <c r="F125" s="362"/>
      <c r="G125" s="344"/>
      <c r="H125" s="213" t="s">
        <v>364</v>
      </c>
      <c r="I125" s="214">
        <v>0.5</v>
      </c>
      <c r="J125" s="215" t="e">
        <f>+IF($K$121&gt;0,+$K$121-SUM(J121:J124),"")</f>
        <v>#VALUE!</v>
      </c>
      <c r="K125" s="347"/>
      <c r="L125" s="202"/>
    </row>
    <row r="126" spans="1:12" ht="15.75" thickBot="1" x14ac:dyDescent="0.3">
      <c r="A126" s="147" t="str">
        <f>+'Anx I pg 1 oferta'!$B$18&amp;"T3_L02_inst_"&amp;B126&amp;"DA1"</f>
        <v>T3_L02_inst_L02-10DA1</v>
      </c>
      <c r="B126" s="348" t="s">
        <v>149</v>
      </c>
      <c r="C126" s="351" t="str">
        <f>+VLOOKUP(B126,'DATOS CENTROS'!B:E,2,FALSE)</f>
        <v>Moncalvillo</v>
      </c>
      <c r="D126" s="354" t="str">
        <f>+VLOOKUP(B126,'DATOS CENTROS'!B:E,3,FALSE)</f>
        <v xml:space="preserve"> A + C</v>
      </c>
      <c r="E126" s="357" t="str">
        <f>+VLOOKUP(B126,'DATOS CENTROS'!B:E,4,FALSE)</f>
        <v>C.E. MONCALVILLO</v>
      </c>
      <c r="F126" s="360">
        <f>+VLOOKUP(B126,'DATOS CENTROS'!B:F,5,FALSE)</f>
        <v>2.1000000000000001E-2</v>
      </c>
      <c r="G126" s="342" t="str">
        <f>+IF(G49&gt;0,G49,"")</f>
        <v/>
      </c>
      <c r="H126" s="213" t="s">
        <v>25</v>
      </c>
      <c r="I126" s="214">
        <v>0.15</v>
      </c>
      <c r="J126" s="215" t="e">
        <f>+IF($K$126&gt;0,+ROUND($K$126*I126,0),"")</f>
        <v>#VALUE!</v>
      </c>
      <c r="K126" s="345" t="str">
        <f>+IFERROR(IF(OR($G$18=0,LEN($G$18)=0),"",IF(AND(M49="ok",(H49/H49)=1),N49,"")),"¿?")</f>
        <v/>
      </c>
      <c r="L126" s="202"/>
    </row>
    <row r="127" spans="1:12" ht="15.75" thickBot="1" x14ac:dyDescent="0.3">
      <c r="A127" s="147" t="str">
        <f>+'Anx I pg 1 oferta'!$B$18&amp;"T3_L02_inst_"&amp;B126&amp;"DA2"</f>
        <v>T3_L02_inst_L02-10DA2</v>
      </c>
      <c r="B127" s="349"/>
      <c r="C127" s="352"/>
      <c r="D127" s="355"/>
      <c r="E127" s="358"/>
      <c r="F127" s="361"/>
      <c r="G127" s="343"/>
      <c r="H127" s="213" t="s">
        <v>26</v>
      </c>
      <c r="I127" s="214">
        <v>0.1</v>
      </c>
      <c r="J127" s="215" t="e">
        <f t="shared" ref="J127:J129" si="9">+IF($K$126&gt;0,+ROUND($K$126*I127,0),"")</f>
        <v>#VALUE!</v>
      </c>
      <c r="K127" s="346"/>
      <c r="L127" s="202"/>
    </row>
    <row r="128" spans="1:12" ht="15.75" thickBot="1" x14ac:dyDescent="0.3">
      <c r="A128" s="147" t="str">
        <f>+'Anx I pg 1 oferta'!$B$18&amp;"T3_L02_inst_"&amp;B126&amp;"DA3"</f>
        <v>T3_L02_inst_L02-10DA3</v>
      </c>
      <c r="B128" s="349"/>
      <c r="C128" s="352"/>
      <c r="D128" s="355"/>
      <c r="E128" s="358"/>
      <c r="F128" s="361"/>
      <c r="G128" s="343"/>
      <c r="H128" s="213" t="s">
        <v>27</v>
      </c>
      <c r="I128" s="214">
        <v>0.2</v>
      </c>
      <c r="J128" s="215" t="e">
        <f t="shared" si="9"/>
        <v>#VALUE!</v>
      </c>
      <c r="K128" s="346"/>
      <c r="L128" s="202"/>
    </row>
    <row r="129" spans="1:12" ht="15.75" thickBot="1" x14ac:dyDescent="0.3">
      <c r="A129" s="147" t="str">
        <f>+'Anx I pg 1 oferta'!$B$18&amp;"T3_L02_inst_"&amp;B126&amp;"DA4"</f>
        <v>T3_L02_inst_L02-10DA4</v>
      </c>
      <c r="B129" s="349"/>
      <c r="C129" s="352"/>
      <c r="D129" s="355"/>
      <c r="E129" s="358"/>
      <c r="F129" s="361"/>
      <c r="G129" s="343"/>
      <c r="H129" s="213" t="s">
        <v>57</v>
      </c>
      <c r="I129" s="214">
        <v>0.05</v>
      </c>
      <c r="J129" s="215" t="e">
        <f t="shared" si="9"/>
        <v>#VALUE!</v>
      </c>
      <c r="K129" s="346"/>
      <c r="L129" s="202"/>
    </row>
    <row r="130" spans="1:12" ht="15.75" thickBot="1" x14ac:dyDescent="0.3">
      <c r="A130" s="147" t="str">
        <f>+'Anx I pg 1 oferta'!$B$18&amp;"T3_L02_inst_"&amp;B126&amp;"DA5"</f>
        <v>T3_L02_inst_L02-10DA5</v>
      </c>
      <c r="B130" s="350"/>
      <c r="C130" s="353"/>
      <c r="D130" s="356"/>
      <c r="E130" s="359"/>
      <c r="F130" s="362"/>
      <c r="G130" s="344"/>
      <c r="H130" s="213" t="s">
        <v>364</v>
      </c>
      <c r="I130" s="214">
        <v>0.5</v>
      </c>
      <c r="J130" s="215" t="e">
        <f>+IF($K$126&gt;0,+$K$126-SUM(J126:J129),"")</f>
        <v>#VALUE!</v>
      </c>
      <c r="K130" s="347"/>
      <c r="L130" s="202"/>
    </row>
    <row r="131" spans="1:12" ht="15.75" thickBot="1" x14ac:dyDescent="0.3">
      <c r="A131" s="147" t="str">
        <f>+'Anx I pg 1 oferta'!$B$18&amp;"T3_L02_inst_"&amp;B131&amp;"DA1"</f>
        <v>T3_L02_inst_L02-11DA1</v>
      </c>
      <c r="B131" s="348" t="s">
        <v>151</v>
      </c>
      <c r="C131" s="351" t="str">
        <f>+VLOOKUP(B131,'DATOS CENTROS'!B:E,2,FALSE)</f>
        <v>Cº  Canicalejo s/n Los Viveros. Varea.  26006</v>
      </c>
      <c r="D131" s="354" t="str">
        <f>+VLOOKUP(B131,'DATOS CENTROS'!B:E,3,FALSE)</f>
        <v>C</v>
      </c>
      <c r="E131" s="357" t="str">
        <f>+VLOOKUP(B131,'DATOS CENTROS'!B:E,4,FALSE)</f>
        <v>C.T. RTVE La Rioja</v>
      </c>
      <c r="F131" s="360">
        <f>+VLOOKUP(B131,'DATOS CENTROS'!B:F,5,FALSE)</f>
        <v>2.5000000000000001E-2</v>
      </c>
      <c r="G131" s="342" t="str">
        <f>+IF(G51&gt;0,G51,"")</f>
        <v/>
      </c>
      <c r="H131" s="213" t="s">
        <v>25</v>
      </c>
      <c r="I131" s="214">
        <v>0.15</v>
      </c>
      <c r="J131" s="215" t="e">
        <f>+IF($K$131&gt;0,+ROUND($K$131*I131,0),"")</f>
        <v>#VALUE!</v>
      </c>
      <c r="K131" s="345" t="str">
        <f>+IFERROR(IF(OR($G$18=0,LEN($G$18)=0),"",IF(AND(M51="ok",(H51/H51)=1),N51,"")),"¿?")</f>
        <v/>
      </c>
      <c r="L131" s="202"/>
    </row>
    <row r="132" spans="1:12" ht="15.75" thickBot="1" x14ac:dyDescent="0.3">
      <c r="A132" s="147" t="str">
        <f>+'Anx I pg 1 oferta'!$B$18&amp;"T3_L02_inst_"&amp;B131&amp;"DA2"</f>
        <v>T3_L02_inst_L02-11DA2</v>
      </c>
      <c r="B132" s="349"/>
      <c r="C132" s="352"/>
      <c r="D132" s="355"/>
      <c r="E132" s="358"/>
      <c r="F132" s="361"/>
      <c r="G132" s="343"/>
      <c r="H132" s="213" t="s">
        <v>26</v>
      </c>
      <c r="I132" s="214">
        <v>0.1</v>
      </c>
      <c r="J132" s="215" t="e">
        <f t="shared" ref="J132:J134" si="10">+IF($K$131&gt;0,+ROUND($K$131*I132,0),"")</f>
        <v>#VALUE!</v>
      </c>
      <c r="K132" s="346"/>
      <c r="L132" s="202"/>
    </row>
    <row r="133" spans="1:12" ht="15.75" thickBot="1" x14ac:dyDescent="0.3">
      <c r="A133" s="147" t="str">
        <f>+'Anx I pg 1 oferta'!$B$18&amp;"T3_L02_inst_"&amp;B131&amp;"DA3"</f>
        <v>T3_L02_inst_L02-11DA3</v>
      </c>
      <c r="B133" s="349"/>
      <c r="C133" s="352"/>
      <c r="D133" s="355"/>
      <c r="E133" s="358"/>
      <c r="F133" s="361"/>
      <c r="G133" s="343"/>
      <c r="H133" s="213" t="s">
        <v>27</v>
      </c>
      <c r="I133" s="214">
        <v>0.2</v>
      </c>
      <c r="J133" s="215" t="e">
        <f t="shared" si="10"/>
        <v>#VALUE!</v>
      </c>
      <c r="K133" s="346"/>
      <c r="L133" s="202"/>
    </row>
    <row r="134" spans="1:12" ht="15.75" thickBot="1" x14ac:dyDescent="0.3">
      <c r="A134" s="147" t="str">
        <f>+'Anx I pg 1 oferta'!$B$18&amp;"T3_L02_inst_"&amp;B131&amp;"DA4"</f>
        <v>T3_L02_inst_L02-11DA4</v>
      </c>
      <c r="B134" s="349"/>
      <c r="C134" s="352"/>
      <c r="D134" s="355"/>
      <c r="E134" s="358"/>
      <c r="F134" s="361"/>
      <c r="G134" s="343"/>
      <c r="H134" s="213" t="s">
        <v>57</v>
      </c>
      <c r="I134" s="214">
        <v>0.05</v>
      </c>
      <c r="J134" s="215" t="e">
        <f t="shared" si="10"/>
        <v>#VALUE!</v>
      </c>
      <c r="K134" s="346"/>
      <c r="L134" s="202"/>
    </row>
    <row r="135" spans="1:12" ht="15.75" thickBot="1" x14ac:dyDescent="0.3">
      <c r="A135" s="147" t="str">
        <f>+'Anx I pg 1 oferta'!$B$18&amp;"T3_L02_inst_"&amp;B131&amp;"DA5"</f>
        <v>T3_L02_inst_L02-11DA5</v>
      </c>
      <c r="B135" s="350"/>
      <c r="C135" s="353"/>
      <c r="D135" s="356"/>
      <c r="E135" s="359"/>
      <c r="F135" s="362"/>
      <c r="G135" s="344"/>
      <c r="H135" s="213" t="s">
        <v>364</v>
      </c>
      <c r="I135" s="214">
        <v>0.5</v>
      </c>
      <c r="J135" s="215" t="e">
        <f>+IF($K$131&gt;0,+$K$131-SUM(J131:J134),"")</f>
        <v>#VALUE!</v>
      </c>
      <c r="K135" s="347"/>
      <c r="L135" s="202"/>
    </row>
    <row r="136" spans="1:12" ht="15.75" thickBot="1" x14ac:dyDescent="0.3">
      <c r="A136" s="147" t="str">
        <f>+'Anx I pg 1 oferta'!$B$18&amp;"T3_L02_cab4(CA)"</f>
        <v>T3_L02_cab4(CA)</v>
      </c>
      <c r="B136" s="209" t="s">
        <v>390</v>
      </c>
      <c r="C136" s="210" t="s">
        <v>153</v>
      </c>
      <c r="D136" s="211"/>
      <c r="E136" s="211"/>
      <c r="F136" s="211"/>
      <c r="G136" s="211"/>
      <c r="H136" s="211"/>
      <c r="I136" s="211"/>
      <c r="J136" s="211"/>
    </row>
    <row r="137" spans="1:12" ht="15.75" customHeight="1" thickBot="1" x14ac:dyDescent="0.3">
      <c r="A137" s="147" t="str">
        <f>+'Anx I pg 1 oferta'!$B$18&amp;"T3_L02_inst_"&amp;B137&amp;"DA1"</f>
        <v>T3_L02_inst_L02-12DA1</v>
      </c>
      <c r="B137" s="348" t="s">
        <v>154</v>
      </c>
      <c r="C137" s="351" t="str">
        <f>+VLOOKUP(B137,'DATOS CENTROS'!B:E,2,FALSE)</f>
        <v>Licenciado Poza 15, Planta 5ª, 6ª, 7ª y 8ª</v>
      </c>
      <c r="D137" s="354" t="str">
        <f>+VLOOKUP(B137,'DATOS CENTROS'!B:E,3,FALSE)</f>
        <v xml:space="preserve"> A + C</v>
      </c>
      <c r="E137" s="357" t="str">
        <f>+VLOOKUP(B137,'DATOS CENTROS'!B:E,4,FALSE)</f>
        <v>C.T. RTVE País Vasco</v>
      </c>
      <c r="F137" s="360">
        <f>+VLOOKUP(B137,'DATOS CENTROS'!B:F,5,FALSE)</f>
        <v>9.1999999999999998E-2</v>
      </c>
      <c r="G137" s="342" t="str">
        <f>+IF(G54&gt;0,G54,"")</f>
        <v/>
      </c>
      <c r="H137" s="213" t="s">
        <v>25</v>
      </c>
      <c r="I137" s="214">
        <v>0.15</v>
      </c>
      <c r="J137" s="215" t="e">
        <f>+IF($K$137&gt;0,+ROUND($K$137*I137,0),"")</f>
        <v>#VALUE!</v>
      </c>
      <c r="K137" s="345" t="str">
        <f>+IFERROR(IF(OR($G$18=0,LEN($G$18)=0),"",IF(AND(M54="ok",(H54/H54)=1),N54,"")),"¿?")</f>
        <v/>
      </c>
      <c r="L137" s="202"/>
    </row>
    <row r="138" spans="1:12" ht="15.75" thickBot="1" x14ac:dyDescent="0.3">
      <c r="A138" s="147" t="str">
        <f>+'Anx I pg 1 oferta'!$B$18&amp;"T3_L02_inst_"&amp;B137&amp;"DA2"</f>
        <v>T3_L02_inst_L02-12DA2</v>
      </c>
      <c r="B138" s="349"/>
      <c r="C138" s="352"/>
      <c r="D138" s="355"/>
      <c r="E138" s="358"/>
      <c r="F138" s="361"/>
      <c r="G138" s="343"/>
      <c r="H138" s="213" t="s">
        <v>26</v>
      </c>
      <c r="I138" s="214">
        <v>0.1</v>
      </c>
      <c r="J138" s="215" t="e">
        <f t="shared" ref="J138:J140" si="11">+IF($K$137&gt;0,+ROUND($K$137*I138,0),"")</f>
        <v>#VALUE!</v>
      </c>
      <c r="K138" s="346"/>
      <c r="L138" s="202"/>
    </row>
    <row r="139" spans="1:12" ht="15.75" thickBot="1" x14ac:dyDescent="0.3">
      <c r="A139" s="147" t="str">
        <f>+'Anx I pg 1 oferta'!$B$18&amp;"T3_L02_inst_"&amp;B137&amp;"DA3"</f>
        <v>T3_L02_inst_L02-12DA3</v>
      </c>
      <c r="B139" s="349"/>
      <c r="C139" s="352"/>
      <c r="D139" s="355"/>
      <c r="E139" s="358"/>
      <c r="F139" s="361"/>
      <c r="G139" s="343"/>
      <c r="H139" s="213" t="s">
        <v>27</v>
      </c>
      <c r="I139" s="214">
        <v>0.2</v>
      </c>
      <c r="J139" s="215" t="e">
        <f t="shared" si="11"/>
        <v>#VALUE!</v>
      </c>
      <c r="K139" s="346"/>
      <c r="L139" s="202"/>
    </row>
    <row r="140" spans="1:12" ht="15.75" thickBot="1" x14ac:dyDescent="0.3">
      <c r="A140" s="147" t="str">
        <f>+'Anx I pg 1 oferta'!$B$18&amp;"T3_L02_inst_"&amp;B137&amp;"DA4"</f>
        <v>T3_L02_inst_L02-12DA4</v>
      </c>
      <c r="B140" s="349"/>
      <c r="C140" s="352"/>
      <c r="D140" s="355"/>
      <c r="E140" s="358"/>
      <c r="F140" s="361"/>
      <c r="G140" s="343"/>
      <c r="H140" s="213" t="s">
        <v>57</v>
      </c>
      <c r="I140" s="214">
        <v>0.05</v>
      </c>
      <c r="J140" s="215" t="e">
        <f t="shared" si="11"/>
        <v>#VALUE!</v>
      </c>
      <c r="K140" s="346"/>
      <c r="L140" s="202"/>
    </row>
    <row r="141" spans="1:12" ht="15.75" thickBot="1" x14ac:dyDescent="0.3">
      <c r="A141" s="147" t="str">
        <f>+'Anx I pg 1 oferta'!$B$18&amp;"T3_L02_inst_"&amp;B137&amp;"DA5"</f>
        <v>T3_L02_inst_L02-12DA5</v>
      </c>
      <c r="B141" s="350"/>
      <c r="C141" s="353"/>
      <c r="D141" s="356"/>
      <c r="E141" s="359"/>
      <c r="F141" s="362"/>
      <c r="G141" s="344"/>
      <c r="H141" s="213" t="s">
        <v>364</v>
      </c>
      <c r="I141" s="214">
        <v>0.5</v>
      </c>
      <c r="J141" s="215" t="e">
        <f>+IF($K$137&gt;0,+$K$137-SUM(J137:J140),"")</f>
        <v>#VALUE!</v>
      </c>
      <c r="K141" s="347"/>
      <c r="L141" s="202"/>
    </row>
    <row r="142" spans="1:12" ht="15.75" thickBot="1" x14ac:dyDescent="0.3">
      <c r="A142" s="147" t="str">
        <f>+'Anx I pg 1 oferta'!$B$18&amp;"T3_L02_inst_"&amp;B142&amp;"DA1"</f>
        <v>T3_L02_inst_L02-13DA1</v>
      </c>
      <c r="B142" s="348" t="s">
        <v>156</v>
      </c>
      <c r="C142" s="351" t="str">
        <f>+VLOOKUP(B142,'DATOS CENTROS'!B:E,2,FALSE)</f>
        <v>Zubieta</v>
      </c>
      <c r="D142" s="354" t="str">
        <f>+VLOOKUP(B142,'DATOS CENTROS'!B:E,3,FALSE)</f>
        <v xml:space="preserve"> A + C</v>
      </c>
      <c r="E142" s="357" t="str">
        <f>+VLOOKUP(B142,'DATOS CENTROS'!B:E,4,FALSE)</f>
        <v>C.E. OM ZUBIETA</v>
      </c>
      <c r="F142" s="360">
        <f>+VLOOKUP(B142,'DATOS CENTROS'!B:F,5,FALSE)</f>
        <v>0.13700000000000001</v>
      </c>
      <c r="G142" s="342" t="str">
        <f>+IF(G56&gt;0,G56,"")</f>
        <v/>
      </c>
      <c r="H142" s="213" t="s">
        <v>25</v>
      </c>
      <c r="I142" s="214">
        <v>0.15</v>
      </c>
      <c r="J142" s="215" t="e">
        <f>+IF($K$142&gt;0,+ROUND($K$142*I142,0),"")</f>
        <v>#VALUE!</v>
      </c>
      <c r="K142" s="345" t="str">
        <f>+IFERROR(IF(OR($G$18=0,LEN($G$18)=0),"",IF(AND(M56="ok",(H56/H56)=1),N56,"")),"¿?")</f>
        <v/>
      </c>
      <c r="L142" s="202"/>
    </row>
    <row r="143" spans="1:12" ht="15.75" thickBot="1" x14ac:dyDescent="0.3">
      <c r="A143" s="147" t="str">
        <f>+'Anx I pg 1 oferta'!$B$18&amp;"T3_L02_inst_"&amp;B142&amp;"DA2"</f>
        <v>T3_L02_inst_L02-13DA2</v>
      </c>
      <c r="B143" s="349"/>
      <c r="C143" s="352"/>
      <c r="D143" s="355"/>
      <c r="E143" s="358"/>
      <c r="F143" s="361"/>
      <c r="G143" s="343"/>
      <c r="H143" s="213" t="s">
        <v>26</v>
      </c>
      <c r="I143" s="214">
        <v>0.1</v>
      </c>
      <c r="J143" s="215" t="e">
        <f t="shared" ref="J143:J145" si="12">+IF($K$142&gt;0,+ROUND($K$142*I143,0),"")</f>
        <v>#VALUE!</v>
      </c>
      <c r="K143" s="346"/>
      <c r="L143" s="202"/>
    </row>
    <row r="144" spans="1:12" ht="15.75" thickBot="1" x14ac:dyDescent="0.3">
      <c r="A144" s="147" t="str">
        <f>+'Anx I pg 1 oferta'!$B$18&amp;"T3_L02_inst_"&amp;B142&amp;"DA3"</f>
        <v>T3_L02_inst_L02-13DA3</v>
      </c>
      <c r="B144" s="349"/>
      <c r="C144" s="352"/>
      <c r="D144" s="355"/>
      <c r="E144" s="358"/>
      <c r="F144" s="361"/>
      <c r="G144" s="343"/>
      <c r="H144" s="213" t="s">
        <v>27</v>
      </c>
      <c r="I144" s="214">
        <v>0.2</v>
      </c>
      <c r="J144" s="215" t="e">
        <f t="shared" si="12"/>
        <v>#VALUE!</v>
      </c>
      <c r="K144" s="346"/>
      <c r="L144" s="202"/>
    </row>
    <row r="145" spans="1:12" ht="15.75" thickBot="1" x14ac:dyDescent="0.3">
      <c r="A145" s="147" t="str">
        <f>+'Anx I pg 1 oferta'!$B$18&amp;"T3_L02_inst_"&amp;B142&amp;"DA4"</f>
        <v>T3_L02_inst_L02-13DA4</v>
      </c>
      <c r="B145" s="349"/>
      <c r="C145" s="352"/>
      <c r="D145" s="355"/>
      <c r="E145" s="358"/>
      <c r="F145" s="361"/>
      <c r="G145" s="343"/>
      <c r="H145" s="213" t="s">
        <v>57</v>
      </c>
      <c r="I145" s="214">
        <v>0.05</v>
      </c>
      <c r="J145" s="215" t="e">
        <f t="shared" si="12"/>
        <v>#VALUE!</v>
      </c>
      <c r="K145" s="346"/>
      <c r="L145" s="202"/>
    </row>
    <row r="146" spans="1:12" ht="15.75" thickBot="1" x14ac:dyDescent="0.3">
      <c r="A146" s="147" t="str">
        <f>+'Anx I pg 1 oferta'!$B$18&amp;"T3_L02_inst_"&amp;B142&amp;"DA5"</f>
        <v>T3_L02_inst_L02-13DA5</v>
      </c>
      <c r="B146" s="350"/>
      <c r="C146" s="353"/>
      <c r="D146" s="356"/>
      <c r="E146" s="359"/>
      <c r="F146" s="362"/>
      <c r="G146" s="344"/>
      <c r="H146" s="213" t="s">
        <v>364</v>
      </c>
      <c r="I146" s="214">
        <v>0.5</v>
      </c>
      <c r="J146" s="215" t="e">
        <f>+IF($K$142&gt;0,+$K$142-SUM(J142:J145),"")</f>
        <v>#VALUE!</v>
      </c>
      <c r="K146" s="347"/>
      <c r="L146" s="202"/>
    </row>
    <row r="147" spans="1:12" ht="15.75" thickBot="1" x14ac:dyDescent="0.3">
      <c r="A147" s="147" t="str">
        <f>+'Anx I pg 1 oferta'!$B$18&amp;"T3_L02_inst_"&amp;B147&amp;"DA1"</f>
        <v>T3_L02_inst_L02-14DA1</v>
      </c>
      <c r="B147" s="348" t="s">
        <v>158</v>
      </c>
      <c r="C147" s="351" t="str">
        <f>+VLOOKUP(B147,'DATOS CENTROS'!B:E,2,FALSE)</f>
        <v>Plaza  Simón Bolivar 13 1ª Planta  01003</v>
      </c>
      <c r="D147" s="354" t="str">
        <f>+VLOOKUP(B147,'DATOS CENTROS'!B:E,3,FALSE)</f>
        <v>C</v>
      </c>
      <c r="E147" s="357" t="str">
        <f>+VLOOKUP(B147,'DATOS CENTROS'!B:E,4,FALSE)</f>
        <v>C.T. RNE País Vasco</v>
      </c>
      <c r="F147" s="360">
        <f>+VLOOKUP(B147,'DATOS CENTROS'!B:F,5,FALSE)</f>
        <v>2.8000000000000001E-2</v>
      </c>
      <c r="G147" s="342" t="str">
        <f>+IF(G58&gt;0,G58,"")</f>
        <v/>
      </c>
      <c r="H147" s="213" t="s">
        <v>25</v>
      </c>
      <c r="I147" s="214">
        <v>0.15</v>
      </c>
      <c r="J147" s="215" t="e">
        <f>+IF($K$147&gt;0,+ROUND($K$147*I147,0),"")</f>
        <v>#VALUE!</v>
      </c>
      <c r="K147" s="345" t="str">
        <f>+IFERROR(IF(OR($G$18=0,LEN($G$18)=0),"",IF(AND(M58="ok",(H58/H58)=1),N58,"")),"¿?")</f>
        <v/>
      </c>
      <c r="L147" s="202"/>
    </row>
    <row r="148" spans="1:12" ht="15.75" thickBot="1" x14ac:dyDescent="0.3">
      <c r="A148" s="147" t="str">
        <f>+'Anx I pg 1 oferta'!$B$18&amp;"T3_L02_inst_"&amp;B147&amp;"DA2"</f>
        <v>T3_L02_inst_L02-14DA2</v>
      </c>
      <c r="B148" s="349"/>
      <c r="C148" s="352"/>
      <c r="D148" s="355"/>
      <c r="E148" s="358"/>
      <c r="F148" s="361"/>
      <c r="G148" s="343"/>
      <c r="H148" s="213" t="s">
        <v>26</v>
      </c>
      <c r="I148" s="214">
        <v>0.1</v>
      </c>
      <c r="J148" s="215" t="e">
        <f t="shared" ref="J148:J150" si="13">+IF($K$147&gt;0,+ROUND($K$147*I148,0),"")</f>
        <v>#VALUE!</v>
      </c>
      <c r="K148" s="346"/>
      <c r="L148" s="202"/>
    </row>
    <row r="149" spans="1:12" ht="15.75" thickBot="1" x14ac:dyDescent="0.3">
      <c r="A149" s="147" t="str">
        <f>+'Anx I pg 1 oferta'!$B$18&amp;"T3_L02_inst_"&amp;B147&amp;"DA3"</f>
        <v>T3_L02_inst_L02-14DA3</v>
      </c>
      <c r="B149" s="349"/>
      <c r="C149" s="352"/>
      <c r="D149" s="355"/>
      <c r="E149" s="358"/>
      <c r="F149" s="361"/>
      <c r="G149" s="343"/>
      <c r="H149" s="213" t="s">
        <v>27</v>
      </c>
      <c r="I149" s="214">
        <v>0.2</v>
      </c>
      <c r="J149" s="215" t="e">
        <f t="shared" si="13"/>
        <v>#VALUE!</v>
      </c>
      <c r="K149" s="346"/>
      <c r="L149" s="202"/>
    </row>
    <row r="150" spans="1:12" ht="15.75" thickBot="1" x14ac:dyDescent="0.3">
      <c r="A150" s="147" t="str">
        <f>+'Anx I pg 1 oferta'!$B$18&amp;"T3_L02_inst_"&amp;B147&amp;"DA4"</f>
        <v>T3_L02_inst_L02-14DA4</v>
      </c>
      <c r="B150" s="349"/>
      <c r="C150" s="352"/>
      <c r="D150" s="355"/>
      <c r="E150" s="358"/>
      <c r="F150" s="361"/>
      <c r="G150" s="343"/>
      <c r="H150" s="213" t="s">
        <v>57</v>
      </c>
      <c r="I150" s="214">
        <v>0.05</v>
      </c>
      <c r="J150" s="215" t="e">
        <f t="shared" si="13"/>
        <v>#VALUE!</v>
      </c>
      <c r="K150" s="346"/>
      <c r="L150" s="202"/>
    </row>
    <row r="151" spans="1:12" ht="15.75" thickBot="1" x14ac:dyDescent="0.3">
      <c r="A151" s="147" t="str">
        <f>+'Anx I pg 1 oferta'!$B$18&amp;"T3_L02_inst_"&amp;B147&amp;"DA5"</f>
        <v>T3_L02_inst_L02-14DA5</v>
      </c>
      <c r="B151" s="350"/>
      <c r="C151" s="353"/>
      <c r="D151" s="356"/>
      <c r="E151" s="359"/>
      <c r="F151" s="362"/>
      <c r="G151" s="344"/>
      <c r="H151" s="213" t="s">
        <v>364</v>
      </c>
      <c r="I151" s="214">
        <v>0.5</v>
      </c>
      <c r="J151" s="215" t="e">
        <f>+IF($K$147&gt;0,+$K$147-SUM(J147:J150),"")</f>
        <v>#VALUE!</v>
      </c>
      <c r="K151" s="347"/>
      <c r="L151" s="202"/>
    </row>
    <row r="152" spans="1:12" ht="15.75" thickBot="1" x14ac:dyDescent="0.3">
      <c r="A152" s="147" t="str">
        <f>+'Anx I pg 1 oferta'!$B$18&amp;"T3_L02_inst_"&amp;B152&amp;"DA1"</f>
        <v>T3_L02_inst_L02-15DA1</v>
      </c>
      <c r="B152" s="348" t="s">
        <v>160</v>
      </c>
      <c r="C152" s="351" t="str">
        <f>+VLOOKUP(B152,'DATOS CENTROS'!B:E,2,FALSE)</f>
        <v>Pº de los Fueros 2 Loc. 3, Plta. B., Entreplanta y 1º  20005</v>
      </c>
      <c r="D152" s="354" t="str">
        <f>+VLOOKUP(B152,'DATOS CENTROS'!B:E,3,FALSE)</f>
        <v>C</v>
      </c>
      <c r="E152" s="357" t="str">
        <f>+VLOOKUP(B152,'DATOS CENTROS'!B:E,4,FALSE)</f>
        <v>U.I. RTVE San Sebastián</v>
      </c>
      <c r="F152" s="360">
        <f>+VLOOKUP(B152,'DATOS CENTROS'!B:F,5,FALSE)</f>
        <v>3.5000000000000003E-2</v>
      </c>
      <c r="G152" s="342" t="str">
        <f>+IF(G60&gt;0,G60,"")</f>
        <v/>
      </c>
      <c r="H152" s="213" t="s">
        <v>25</v>
      </c>
      <c r="I152" s="214">
        <v>0.15</v>
      </c>
      <c r="J152" s="215" t="e">
        <f>+IF($K$152&gt;0,+ROUND($K$152*I152,0),"")</f>
        <v>#VALUE!</v>
      </c>
      <c r="K152" s="345" t="str">
        <f>+IFERROR(IF(OR($G$18=0,LEN($G$18)=0),"",IF(AND(M60="ok",(H60/H60)=1),N60,"")),"¿?")</f>
        <v/>
      </c>
      <c r="L152" s="202"/>
    </row>
    <row r="153" spans="1:12" ht="15.75" thickBot="1" x14ac:dyDescent="0.3">
      <c r="A153" s="147" t="str">
        <f>+'Anx I pg 1 oferta'!$B$18&amp;"T3_L02_inst_"&amp;B152&amp;"DA2"</f>
        <v>T3_L02_inst_L02-15DA2</v>
      </c>
      <c r="B153" s="349"/>
      <c r="C153" s="352"/>
      <c r="D153" s="355"/>
      <c r="E153" s="358"/>
      <c r="F153" s="361"/>
      <c r="G153" s="343"/>
      <c r="H153" s="213" t="s">
        <v>26</v>
      </c>
      <c r="I153" s="214">
        <v>0.1</v>
      </c>
      <c r="J153" s="215" t="e">
        <f t="shared" ref="J153:J155" si="14">+IF($K$152&gt;0,+ROUND($K$152*I153,0),"")</f>
        <v>#VALUE!</v>
      </c>
      <c r="K153" s="346"/>
      <c r="L153" s="202"/>
    </row>
    <row r="154" spans="1:12" ht="15.75" thickBot="1" x14ac:dyDescent="0.3">
      <c r="A154" s="147" t="str">
        <f>+'Anx I pg 1 oferta'!$B$18&amp;"T3_L02_inst_"&amp;B152&amp;"DA3"</f>
        <v>T3_L02_inst_L02-15DA3</v>
      </c>
      <c r="B154" s="349"/>
      <c r="C154" s="352"/>
      <c r="D154" s="355"/>
      <c r="E154" s="358"/>
      <c r="F154" s="361"/>
      <c r="G154" s="343"/>
      <c r="H154" s="213" t="s">
        <v>27</v>
      </c>
      <c r="I154" s="214">
        <v>0.2</v>
      </c>
      <c r="J154" s="215" t="e">
        <f t="shared" si="14"/>
        <v>#VALUE!</v>
      </c>
      <c r="K154" s="346"/>
      <c r="L154" s="202"/>
    </row>
    <row r="155" spans="1:12" ht="15.75" thickBot="1" x14ac:dyDescent="0.3">
      <c r="A155" s="147" t="str">
        <f>+'Anx I pg 1 oferta'!$B$18&amp;"T3_L02_inst_"&amp;B152&amp;"DA4"</f>
        <v>T3_L02_inst_L02-15DA4</v>
      </c>
      <c r="B155" s="349"/>
      <c r="C155" s="352"/>
      <c r="D155" s="355"/>
      <c r="E155" s="358"/>
      <c r="F155" s="361"/>
      <c r="G155" s="343"/>
      <c r="H155" s="213" t="s">
        <v>57</v>
      </c>
      <c r="I155" s="214">
        <v>0.05</v>
      </c>
      <c r="J155" s="215" t="e">
        <f t="shared" si="14"/>
        <v>#VALUE!</v>
      </c>
      <c r="K155" s="346"/>
      <c r="L155" s="202"/>
    </row>
    <row r="156" spans="1:12" ht="15.75" thickBot="1" x14ac:dyDescent="0.3">
      <c r="A156" s="147" t="str">
        <f>+'Anx I pg 1 oferta'!$B$18&amp;"T3_L02_inst_"&amp;B152&amp;"DA5"</f>
        <v>T3_L02_inst_L02-15DA5</v>
      </c>
      <c r="B156" s="350"/>
      <c r="C156" s="353"/>
      <c r="D156" s="356"/>
      <c r="E156" s="359"/>
      <c r="F156" s="362"/>
      <c r="G156" s="344"/>
      <c r="H156" s="213" t="s">
        <v>364</v>
      </c>
      <c r="I156" s="214">
        <v>0.5</v>
      </c>
      <c r="J156" s="215" t="e">
        <f>+IF($K$152&gt;0,+$K$152-SUM(J152:J155),"")</f>
        <v>#VALUE!</v>
      </c>
      <c r="K156" s="347"/>
      <c r="L156" s="202"/>
    </row>
    <row r="157" spans="1:12" ht="15.75" hidden="1" thickBot="1" x14ac:dyDescent="0.3">
      <c r="A157" s="147" t="s">
        <v>544</v>
      </c>
      <c r="B157" s="348"/>
      <c r="C157" s="351"/>
      <c r="D157" s="354"/>
      <c r="E157" s="357"/>
      <c r="F157" s="360"/>
      <c r="G157" s="342"/>
      <c r="H157" s="213"/>
      <c r="I157" s="214"/>
      <c r="J157" s="215"/>
      <c r="K157" s="345"/>
      <c r="L157" s="202"/>
    </row>
    <row r="158" spans="1:12" ht="15.75" hidden="1" thickBot="1" x14ac:dyDescent="0.3">
      <c r="A158" s="147" t="s">
        <v>544</v>
      </c>
      <c r="B158" s="349"/>
      <c r="C158" s="352"/>
      <c r="D158" s="355"/>
      <c r="E158" s="358"/>
      <c r="F158" s="361"/>
      <c r="G158" s="343"/>
      <c r="H158" s="213"/>
      <c r="I158" s="214"/>
      <c r="J158" s="215"/>
      <c r="K158" s="346"/>
      <c r="L158" s="202"/>
    </row>
    <row r="159" spans="1:12" ht="15.75" hidden="1" thickBot="1" x14ac:dyDescent="0.3">
      <c r="A159" s="147" t="s">
        <v>544</v>
      </c>
      <c r="B159" s="349"/>
      <c r="C159" s="352"/>
      <c r="D159" s="355"/>
      <c r="E159" s="358"/>
      <c r="F159" s="361"/>
      <c r="G159" s="343"/>
      <c r="H159" s="213"/>
      <c r="I159" s="214"/>
      <c r="J159" s="215"/>
      <c r="K159" s="346"/>
      <c r="L159" s="202"/>
    </row>
    <row r="160" spans="1:12" ht="15.75" hidden="1" thickBot="1" x14ac:dyDescent="0.3">
      <c r="A160" s="147" t="s">
        <v>544</v>
      </c>
      <c r="B160" s="349"/>
      <c r="C160" s="352"/>
      <c r="D160" s="355"/>
      <c r="E160" s="358"/>
      <c r="F160" s="361"/>
      <c r="G160" s="343"/>
      <c r="H160" s="213"/>
      <c r="I160" s="214"/>
      <c r="J160" s="215"/>
      <c r="K160" s="346"/>
      <c r="L160" s="202"/>
    </row>
    <row r="161" spans="1:12" ht="15.75" hidden="1" thickBot="1" x14ac:dyDescent="0.3">
      <c r="A161" s="147" t="s">
        <v>544</v>
      </c>
      <c r="B161" s="350"/>
      <c r="C161" s="353"/>
      <c r="D161" s="356"/>
      <c r="E161" s="359"/>
      <c r="F161" s="362"/>
      <c r="G161" s="344"/>
      <c r="H161" s="213"/>
      <c r="I161" s="214"/>
      <c r="J161" s="215"/>
      <c r="K161" s="347"/>
      <c r="L161" s="202"/>
    </row>
    <row r="162" spans="1:12" ht="15.75" hidden="1" customHeight="1" thickBot="1" x14ac:dyDescent="0.3">
      <c r="A162" s="147" t="s">
        <v>544</v>
      </c>
      <c r="B162" s="348"/>
      <c r="C162" s="351"/>
      <c r="D162" s="354"/>
      <c r="E162" s="357"/>
      <c r="F162" s="360"/>
      <c r="G162" s="342"/>
      <c r="H162" s="213"/>
      <c r="I162" s="214"/>
      <c r="J162" s="215"/>
      <c r="K162" s="345"/>
      <c r="L162" s="202"/>
    </row>
    <row r="163" spans="1:12" ht="15.75" hidden="1" thickBot="1" x14ac:dyDescent="0.3">
      <c r="A163" s="147" t="s">
        <v>544</v>
      </c>
      <c r="B163" s="349"/>
      <c r="C163" s="352"/>
      <c r="D163" s="355"/>
      <c r="E163" s="358"/>
      <c r="F163" s="361"/>
      <c r="G163" s="343"/>
      <c r="H163" s="213"/>
      <c r="I163" s="214"/>
      <c r="J163" s="215"/>
      <c r="K163" s="346"/>
      <c r="L163" s="202"/>
    </row>
    <row r="164" spans="1:12" ht="15.75" hidden="1" thickBot="1" x14ac:dyDescent="0.3">
      <c r="A164" s="147" t="s">
        <v>544</v>
      </c>
      <c r="B164" s="349"/>
      <c r="C164" s="352"/>
      <c r="D164" s="355"/>
      <c r="E164" s="358"/>
      <c r="F164" s="361"/>
      <c r="G164" s="343"/>
      <c r="H164" s="213"/>
      <c r="I164" s="214"/>
      <c r="J164" s="215"/>
      <c r="K164" s="346"/>
      <c r="L164" s="202"/>
    </row>
    <row r="165" spans="1:12" ht="15.75" hidden="1" thickBot="1" x14ac:dyDescent="0.3">
      <c r="A165" s="147" t="s">
        <v>544</v>
      </c>
      <c r="B165" s="349"/>
      <c r="C165" s="352"/>
      <c r="D165" s="355"/>
      <c r="E165" s="358"/>
      <c r="F165" s="361"/>
      <c r="G165" s="343"/>
      <c r="H165" s="213"/>
      <c r="I165" s="214"/>
      <c r="J165" s="215"/>
      <c r="K165" s="346"/>
      <c r="L165" s="202"/>
    </row>
    <row r="166" spans="1:12" ht="15.75" hidden="1" thickBot="1" x14ac:dyDescent="0.3">
      <c r="A166" s="147" t="s">
        <v>544</v>
      </c>
      <c r="B166" s="350"/>
      <c r="C166" s="353"/>
      <c r="D166" s="356"/>
      <c r="E166" s="359"/>
      <c r="F166" s="362"/>
      <c r="G166" s="344"/>
      <c r="H166" s="213"/>
      <c r="I166" s="214"/>
      <c r="J166" s="215"/>
      <c r="K166" s="347"/>
      <c r="L166" s="202"/>
    </row>
    <row r="167" spans="1:12" ht="15.75" hidden="1" thickBot="1" x14ac:dyDescent="0.3">
      <c r="A167" s="147" t="s">
        <v>544</v>
      </c>
      <c r="B167" s="348"/>
      <c r="C167" s="351"/>
      <c r="D167" s="354"/>
      <c r="E167" s="357"/>
      <c r="F167" s="360"/>
      <c r="G167" s="342"/>
      <c r="H167" s="213"/>
      <c r="I167" s="214"/>
      <c r="J167" s="215"/>
      <c r="K167" s="345"/>
      <c r="L167" s="202"/>
    </row>
    <row r="168" spans="1:12" ht="15.75" hidden="1" thickBot="1" x14ac:dyDescent="0.3">
      <c r="A168" s="147" t="s">
        <v>544</v>
      </c>
      <c r="B168" s="349"/>
      <c r="C168" s="352"/>
      <c r="D168" s="355"/>
      <c r="E168" s="358"/>
      <c r="F168" s="361"/>
      <c r="G168" s="343"/>
      <c r="H168" s="213"/>
      <c r="I168" s="214"/>
      <c r="J168" s="215"/>
      <c r="K168" s="346"/>
      <c r="L168" s="202"/>
    </row>
    <row r="169" spans="1:12" ht="15.75" hidden="1" thickBot="1" x14ac:dyDescent="0.3">
      <c r="A169" s="147" t="s">
        <v>544</v>
      </c>
      <c r="B169" s="349"/>
      <c r="C169" s="352"/>
      <c r="D169" s="355"/>
      <c r="E169" s="358"/>
      <c r="F169" s="361"/>
      <c r="G169" s="343"/>
      <c r="H169" s="213"/>
      <c r="I169" s="214"/>
      <c r="J169" s="215"/>
      <c r="K169" s="346"/>
      <c r="L169" s="202"/>
    </row>
    <row r="170" spans="1:12" ht="15.75" hidden="1" thickBot="1" x14ac:dyDescent="0.3">
      <c r="A170" s="147" t="s">
        <v>544</v>
      </c>
      <c r="B170" s="349"/>
      <c r="C170" s="352"/>
      <c r="D170" s="355"/>
      <c r="E170" s="358"/>
      <c r="F170" s="361"/>
      <c r="G170" s="343"/>
      <c r="H170" s="213"/>
      <c r="I170" s="214"/>
      <c r="J170" s="215"/>
      <c r="K170" s="346"/>
      <c r="L170" s="202"/>
    </row>
    <row r="171" spans="1:12" ht="15.75" hidden="1" thickBot="1" x14ac:dyDescent="0.3">
      <c r="A171" s="147" t="s">
        <v>544</v>
      </c>
      <c r="B171" s="350"/>
      <c r="C171" s="353"/>
      <c r="D171" s="356"/>
      <c r="E171" s="359"/>
      <c r="F171" s="362"/>
      <c r="G171" s="344"/>
      <c r="H171" s="213"/>
      <c r="I171" s="214"/>
      <c r="J171" s="215"/>
      <c r="K171" s="347"/>
      <c r="L171" s="202"/>
    </row>
    <row r="172" spans="1:12" x14ac:dyDescent="0.25">
      <c r="A172" s="147" t="str">
        <f>+'Anx I pg 1 oferta'!$B$18&amp;"T3_L02_TOT"</f>
        <v>T3_L02_TOT</v>
      </c>
      <c r="B172" s="278" t="s">
        <v>390</v>
      </c>
      <c r="C172" s="122"/>
      <c r="D172" s="122"/>
      <c r="E172" s="122"/>
      <c r="F172" s="285">
        <f>SUM(F79:F171)</f>
        <v>1</v>
      </c>
      <c r="G172" s="285">
        <f>SUM(G79:G171)</f>
        <v>0</v>
      </c>
      <c r="H172" s="122"/>
      <c r="I172" s="122"/>
      <c r="J172" s="287" t="e">
        <f>SUM(J79:J171)</f>
        <v>#VALUE!</v>
      </c>
      <c r="K172" s="287">
        <f>SUM(K79:K171)</f>
        <v>0</v>
      </c>
    </row>
    <row r="173" spans="1:12" x14ac:dyDescent="0.25">
      <c r="A173" s="122" t="s">
        <v>544</v>
      </c>
      <c r="B173" s="122" t="s">
        <v>390</v>
      </c>
      <c r="C173" s="122"/>
      <c r="D173" s="122"/>
      <c r="E173" s="122"/>
      <c r="F173" s="122"/>
      <c r="G173" s="122"/>
      <c r="H173" s="122"/>
      <c r="I173" s="122"/>
      <c r="J173" s="122"/>
      <c r="K173" s="122"/>
    </row>
    <row r="174" spans="1:12" x14ac:dyDescent="0.25">
      <c r="A174" s="122" t="s">
        <v>544</v>
      </c>
      <c r="B174" s="122" t="s">
        <v>390</v>
      </c>
      <c r="C174" s="122"/>
      <c r="D174" s="122"/>
      <c r="E174" s="122"/>
      <c r="F174" s="122"/>
      <c r="G174" s="122"/>
      <c r="H174" s="122"/>
      <c r="I174" s="122"/>
      <c r="J174" s="122"/>
      <c r="K174" s="122"/>
    </row>
    <row r="175" spans="1:12" x14ac:dyDescent="0.25">
      <c r="A175" s="122" t="s">
        <v>542</v>
      </c>
      <c r="B175" s="122" t="s">
        <v>390</v>
      </c>
      <c r="C175" s="122"/>
      <c r="D175" s="122"/>
      <c r="E175" s="122"/>
      <c r="F175" s="122"/>
      <c r="G175" s="122"/>
      <c r="H175" s="122"/>
      <c r="I175" s="122" t="s">
        <v>372</v>
      </c>
      <c r="J175" s="284" t="e">
        <f>+J79+J84+J89+J94+J99+J104+J110+J115+J121+J126+J131+J137+J142+J147+J152+J157+J162+J167</f>
        <v>#VALUE!</v>
      </c>
      <c r="K175" s="122"/>
    </row>
    <row r="176" spans="1:12" x14ac:dyDescent="0.25">
      <c r="A176" s="122" t="s">
        <v>542</v>
      </c>
      <c r="B176" s="122" t="s">
        <v>390</v>
      </c>
      <c r="C176" s="122"/>
      <c r="D176" s="122"/>
      <c r="E176" s="122"/>
      <c r="F176" s="122"/>
      <c r="G176" s="122"/>
      <c r="H176" s="122"/>
      <c r="I176" s="122" t="s">
        <v>374</v>
      </c>
      <c r="J176" s="284" t="e">
        <f>+J80+J85+J90+J95+J100+J105+J111+J116+J122+J127+J132+J138+J143+J148+J153+J158+J163+J168</f>
        <v>#VALUE!</v>
      </c>
      <c r="K176" s="122"/>
    </row>
    <row r="177" spans="1:11" x14ac:dyDescent="0.25">
      <c r="A177" s="122" t="s">
        <v>542</v>
      </c>
      <c r="B177" s="122" t="s">
        <v>390</v>
      </c>
      <c r="C177" s="122"/>
      <c r="D177" s="122"/>
      <c r="E177" s="122"/>
      <c r="F177" s="122"/>
      <c r="G177" s="122"/>
      <c r="H177" s="122"/>
      <c r="I177" s="122" t="s">
        <v>373</v>
      </c>
      <c r="J177" s="284" t="e">
        <f>+J81+J86+J91+J96+J101+J106+J112+J117+J123+J128+J133+J139+J144+J149+J154+J159+J164+J169</f>
        <v>#VALUE!</v>
      </c>
      <c r="K177" s="122"/>
    </row>
    <row r="178" spans="1:11" x14ac:dyDescent="0.25">
      <c r="A178" s="122" t="s">
        <v>542</v>
      </c>
      <c r="B178" s="122" t="s">
        <v>390</v>
      </c>
      <c r="C178" s="122"/>
      <c r="D178" s="122"/>
      <c r="E178" s="122"/>
      <c r="F178" s="122"/>
      <c r="G178" s="122"/>
      <c r="H178" s="122"/>
      <c r="I178" s="122" t="s">
        <v>375</v>
      </c>
      <c r="J178" s="284" t="e">
        <f>+J82+J87+J92+J97+J102+J107+J113+J118+J124+J129+J134+J140+J145+J150+J155+J160+J165+J170</f>
        <v>#VALUE!</v>
      </c>
      <c r="K178" s="122"/>
    </row>
    <row r="179" spans="1:11" x14ac:dyDescent="0.25">
      <c r="A179" s="122" t="s">
        <v>542</v>
      </c>
      <c r="B179" s="122" t="s">
        <v>390</v>
      </c>
      <c r="C179" s="122"/>
      <c r="D179" s="122"/>
      <c r="E179" s="122"/>
      <c r="F179" s="122"/>
      <c r="G179" s="122"/>
      <c r="H179" s="122"/>
      <c r="I179" s="122" t="s">
        <v>376</v>
      </c>
      <c r="J179" s="284" t="e">
        <f>+J83+J88+J93+J98+J103+J108+J114+J119+J125+J130+J135+J141+J146+J151+J156+J161+J166+J171</f>
        <v>#VALUE!</v>
      </c>
      <c r="K179" s="122"/>
    </row>
    <row r="180" spans="1:11" x14ac:dyDescent="0.25">
      <c r="A180" s="122" t="s">
        <v>542</v>
      </c>
      <c r="B180" s="122" t="s">
        <v>390</v>
      </c>
      <c r="C180" s="122"/>
      <c r="D180" s="122"/>
      <c r="E180" s="122"/>
      <c r="F180" s="122"/>
      <c r="G180" s="122"/>
      <c r="H180" s="122"/>
      <c r="I180" s="122" t="s">
        <v>371</v>
      </c>
      <c r="J180" s="284" t="e">
        <f>SUM(J175:J179)</f>
        <v>#VALUE!</v>
      </c>
      <c r="K180" s="122"/>
    </row>
  </sheetData>
  <sheetProtection algorithmName="SHA-512" hashValue="q+qGPQh3q82TDdg6lp2yiy74B+JV2tlnKn09b8GaJnkJHbMlsPL9xsK3KO60rLv59JwCGNsU0kiVPeYx9zl5BQ==" saltValue="5bRtPgpev+uLd/fQQLKASg==" spinCount="100000" sheet="1" objects="1" scenarios="1" selectLockedCells="1"/>
  <mergeCells count="135">
    <mergeCell ref="B157:B161"/>
    <mergeCell ref="C157:C161"/>
    <mergeCell ref="D157:D161"/>
    <mergeCell ref="E157:E161"/>
    <mergeCell ref="F157:F161"/>
    <mergeCell ref="G157:G161"/>
    <mergeCell ref="K157:K161"/>
    <mergeCell ref="G162:G166"/>
    <mergeCell ref="K162:K166"/>
    <mergeCell ref="B167:B171"/>
    <mergeCell ref="C167:C171"/>
    <mergeCell ref="D167:D171"/>
    <mergeCell ref="E167:E171"/>
    <mergeCell ref="F167:F171"/>
    <mergeCell ref="G167:G171"/>
    <mergeCell ref="K167:K171"/>
    <mergeCell ref="B162:B166"/>
    <mergeCell ref="C162:C166"/>
    <mergeCell ref="D162:D166"/>
    <mergeCell ref="E162:E166"/>
    <mergeCell ref="F162:F166"/>
    <mergeCell ref="B152:B156"/>
    <mergeCell ref="C152:C156"/>
    <mergeCell ref="D152:D156"/>
    <mergeCell ref="E152:E156"/>
    <mergeCell ref="F152:F156"/>
    <mergeCell ref="G142:G146"/>
    <mergeCell ref="K142:K146"/>
    <mergeCell ref="B147:B151"/>
    <mergeCell ref="C147:C151"/>
    <mergeCell ref="D147:D151"/>
    <mergeCell ref="E147:E151"/>
    <mergeCell ref="F147:F151"/>
    <mergeCell ref="G147:G151"/>
    <mergeCell ref="K147:K151"/>
    <mergeCell ref="B142:B146"/>
    <mergeCell ref="C142:C146"/>
    <mergeCell ref="D142:D146"/>
    <mergeCell ref="E142:E146"/>
    <mergeCell ref="F142:F146"/>
    <mergeCell ref="G152:G156"/>
    <mergeCell ref="K152:K156"/>
    <mergeCell ref="G131:G135"/>
    <mergeCell ref="K131:K135"/>
    <mergeCell ref="B137:B141"/>
    <mergeCell ref="C137:C141"/>
    <mergeCell ref="D137:D141"/>
    <mergeCell ref="E137:E141"/>
    <mergeCell ref="F137:F141"/>
    <mergeCell ref="G137:G141"/>
    <mergeCell ref="K137:K141"/>
    <mergeCell ref="B131:B135"/>
    <mergeCell ref="C131:C135"/>
    <mergeCell ref="D131:D135"/>
    <mergeCell ref="E131:E135"/>
    <mergeCell ref="F131:F135"/>
    <mergeCell ref="G121:G125"/>
    <mergeCell ref="K121:K125"/>
    <mergeCell ref="B126:B130"/>
    <mergeCell ref="C126:C130"/>
    <mergeCell ref="D126:D130"/>
    <mergeCell ref="E126:E130"/>
    <mergeCell ref="F126:F130"/>
    <mergeCell ref="G126:G130"/>
    <mergeCell ref="K126:K130"/>
    <mergeCell ref="B121:B125"/>
    <mergeCell ref="C121:C125"/>
    <mergeCell ref="D121:D125"/>
    <mergeCell ref="E121:E125"/>
    <mergeCell ref="F121:F125"/>
    <mergeCell ref="G110:G114"/>
    <mergeCell ref="K110:K114"/>
    <mergeCell ref="B115:B119"/>
    <mergeCell ref="C115:C119"/>
    <mergeCell ref="D115:D119"/>
    <mergeCell ref="E115:E119"/>
    <mergeCell ref="F115:F119"/>
    <mergeCell ref="G115:G119"/>
    <mergeCell ref="K115:K119"/>
    <mergeCell ref="B110:B114"/>
    <mergeCell ref="C110:C114"/>
    <mergeCell ref="D110:D114"/>
    <mergeCell ref="E110:E114"/>
    <mergeCell ref="F110:F114"/>
    <mergeCell ref="G99:G103"/>
    <mergeCell ref="K99:K103"/>
    <mergeCell ref="B104:B108"/>
    <mergeCell ref="C104:C108"/>
    <mergeCell ref="D104:D108"/>
    <mergeCell ref="E104:E108"/>
    <mergeCell ref="F104:F108"/>
    <mergeCell ref="G104:G108"/>
    <mergeCell ref="K104:K108"/>
    <mergeCell ref="B99:B103"/>
    <mergeCell ref="C99:C103"/>
    <mergeCell ref="D99:D103"/>
    <mergeCell ref="E99:E103"/>
    <mergeCell ref="F99:F103"/>
    <mergeCell ref="G89:G93"/>
    <mergeCell ref="K89:K93"/>
    <mergeCell ref="B94:B98"/>
    <mergeCell ref="C94:C98"/>
    <mergeCell ref="D94:D98"/>
    <mergeCell ref="E94:E98"/>
    <mergeCell ref="F94:F98"/>
    <mergeCell ref="G94:G98"/>
    <mergeCell ref="K94:K98"/>
    <mergeCell ref="B89:B93"/>
    <mergeCell ref="C89:C93"/>
    <mergeCell ref="D89:D93"/>
    <mergeCell ref="E89:E93"/>
    <mergeCell ref="F89:F93"/>
    <mergeCell ref="B84:B88"/>
    <mergeCell ref="C84:C88"/>
    <mergeCell ref="D84:D88"/>
    <mergeCell ref="E84:E88"/>
    <mergeCell ref="F84:F88"/>
    <mergeCell ref="G84:G88"/>
    <mergeCell ref="K84:K88"/>
    <mergeCell ref="B79:B83"/>
    <mergeCell ref="C79:C83"/>
    <mergeCell ref="D79:D83"/>
    <mergeCell ref="E79:E83"/>
    <mergeCell ref="F79:F83"/>
    <mergeCell ref="B2:K2"/>
    <mergeCell ref="B8:G8"/>
    <mergeCell ref="C12:F12"/>
    <mergeCell ref="C13:F13"/>
    <mergeCell ref="C14:F14"/>
    <mergeCell ref="C15:F15"/>
    <mergeCell ref="C16:F16"/>
    <mergeCell ref="C17:F17"/>
    <mergeCell ref="G79:G83"/>
    <mergeCell ref="K79:K83"/>
    <mergeCell ref="D20:G20"/>
  </mergeCells>
  <conditionalFormatting sqref="G18">
    <cfRule type="expression" dxfId="148" priority="32">
      <formula>$H$37&lt;0</formula>
    </cfRule>
  </conditionalFormatting>
  <conditionalFormatting sqref="H42 H44 H47">
    <cfRule type="expression" dxfId="147" priority="15">
      <formula>$H$37&lt;0</formula>
    </cfRule>
    <cfRule type="expression" dxfId="146" priority="16">
      <formula>$H$37&gt;0</formula>
    </cfRule>
  </conditionalFormatting>
  <conditionalFormatting sqref="J67 N67 J29:N40 J42:N45 J47:N52 J54:N66">
    <cfRule type="expression" dxfId="145" priority="31">
      <formula>"""ok"""</formula>
    </cfRule>
  </conditionalFormatting>
  <conditionalFormatting sqref="H62 H64 H66">
    <cfRule type="expression" dxfId="144" priority="11">
      <formula>$H$37&lt;0</formula>
    </cfRule>
    <cfRule type="expression" dxfId="143" priority="12">
      <formula>$H$37&gt;0</formula>
    </cfRule>
  </conditionalFormatting>
  <conditionalFormatting sqref="H49">
    <cfRule type="expression" dxfId="142" priority="9">
      <formula>$H$37&lt;0</formula>
    </cfRule>
    <cfRule type="expression" dxfId="141" priority="10">
      <formula>$H$37&gt;0</formula>
    </cfRule>
  </conditionalFormatting>
  <conditionalFormatting sqref="H60">
    <cfRule type="expression" dxfId="140" priority="7">
      <formula>$H$37&lt;0</formula>
    </cfRule>
    <cfRule type="expression" dxfId="139" priority="8">
      <formula>$H$37&gt;0</formula>
    </cfRule>
  </conditionalFormatting>
  <conditionalFormatting sqref="H37">
    <cfRule type="expression" dxfId="138" priority="5">
      <formula>$H$37&lt;0</formula>
    </cfRule>
    <cfRule type="expression" dxfId="137" priority="6">
      <formula>$H$37&gt;0</formula>
    </cfRule>
  </conditionalFormatting>
  <conditionalFormatting sqref="H39">
    <cfRule type="expression" dxfId="136" priority="3">
      <formula>$H$37&lt;0</formula>
    </cfRule>
    <cfRule type="expression" dxfId="135" priority="4">
      <formula>$H$37&gt;0</formula>
    </cfRule>
  </conditionalFormatting>
  <conditionalFormatting sqref="H33">
    <cfRule type="expression" dxfId="134" priority="1">
      <formula>$H$37&lt;0</formula>
    </cfRule>
    <cfRule type="expression" dxfId="133" priority="2">
      <formula>$H$37&gt;0</formula>
    </cfRule>
  </conditionalFormatting>
  <conditionalFormatting sqref="H29 H31 H35">
    <cfRule type="expression" dxfId="132" priority="17">
      <formula>$H$37&lt;0</formula>
    </cfRule>
    <cfRule type="expression" dxfId="131" priority="18">
      <formula>$H$37&gt;0</formula>
    </cfRule>
  </conditionalFormatting>
  <conditionalFormatting sqref="H51 H54 H58">
    <cfRule type="expression" dxfId="130" priority="13">
      <formula>$H$37&lt;0</formula>
    </cfRule>
    <cfRule type="expression" dxfId="129" priority="14">
      <formula>$H$37&gt;0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  <ignoredErrors>
    <ignoredError sqref="C54:C59 C30:C40 C42:C45 C47:C52" formula="1"/>
    <ignoredError sqref="J79:J180" evalError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4DF68-7DE2-4077-BA8F-2BE68AD42FFE}">
  <sheetPr codeName="Hoja7">
    <pageSetUpPr fitToPage="1"/>
  </sheetPr>
  <dimension ref="A1:W202"/>
  <sheetViews>
    <sheetView showGridLines="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495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3 : Comunidad de Madrid, sede Prado del Rey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oferta'!$B$18&amp;"T1_L03_cab"</f>
        <v>T1_L03_cab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oferta'!$B$18&amp;"T1_L03_DAB1"</f>
        <v>T1_L03_DAB1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decimales",IF(VLOOKUP(3,'RESUMEN LOTES'!B7:E15,4,FALSE)&lt;G18,"Importe ofertado supera max. € "&amp;VLOOKUP(3,'RESUMEN LOTES'!B7:E15,4,FALSE),IF(COUNTIFS($M$29:$M$64,"ok")&lt;&gt;9,"Debe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+IF(OR($G$18=0,LEN($G$18)=0),"¿?",IF(COUNTIFS($M$29:$M$64,"ok")&lt;&gt;9,"¿?",+IF(C13="Debe revisar Desglose 2 IMPORTE ofertado POR SEDE","¿?",+SUMIFS($J$76:$J$165,$H$76:$H$165,C13))))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oferta'!$B$18&amp;"T1_L03_DAB2"</f>
        <v>T1_L03_DAB2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decimales",IF(VLOOKUP(3,'RESUMEN LOTES'!B7:E15,4,FALSE)&lt;G18,"Importe ofertado supera max. € "&amp;VLOOKUP(3,'RESUMEN LOTES'!B7:E15,4,FALSE),IF(COUNTIFS($M$29:$M$64,"ok")&lt;&gt;9,"Debe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+IF(OR($G$18=0,LEN($G$18)=0),"¿?",IF(COUNTIFS($M$29:$M$64,"ok")&lt;&gt;9,"¿?",+IF(C14="Debe revisar Desglose 2 IMPORTE ofertado POR SEDE","¿?",+SUMIFS($J$76:$J$165,$H$76:$H$165,C14))))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oferta'!$B$18&amp;"T1_L03_DAB3"</f>
        <v>T1_L03_DAB3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decimales",IF(VLOOKUP(3,'RESUMEN LOTES'!B7:E15,4,FALSE)&lt;G18,"Importe ofertado supera max. € "&amp;VLOOKUP(3,'RESUMEN LOTES'!B7:E15,4,FALSE),IF(COUNTIFS($M$29:$M$64,"ok")&lt;&gt;9,"Debe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+IF(OR($G$18=0,LEN($G$18)=0),"¿?",IF(COUNTIFS($M$29:$M$64,"ok")&lt;&gt;9,"¿?",+IF(C15="Debe revisar Desglose 2 IMPORTE ofertado POR SEDE","¿?",+SUMIFS($J$76:$J$165,$H$76:$H$165,C15))))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oferta'!$B$18&amp;"T1_L03_DAB4"</f>
        <v>T1_L03_DAB4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decimales",IF(VLOOKUP(3,'RESUMEN LOTES'!B7:E15,4,FALSE)&lt;G18,"Importe ofertado supera max. € "&amp;VLOOKUP(3,'RESUMEN LOTES'!B7:E15,4,FALSE),IF(COUNTIFS($M$29:$M$64,"ok")&lt;&gt;9,"Debe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+IF(OR($G$18=0,LEN($G$18)=0),"¿?",IF(COUNTIFS($M$29:$M$64,"ok")&lt;&gt;9,"¿?",+IF(C16="Debe revisar Desglose 2 IMPORTE ofertado POR SEDE","¿?",+SUMIFS($J$76:$J$165,$H$76:$H$165,C16))))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oferta'!$B$18&amp;"T1_L03_DAB5"</f>
        <v>T1_L03_DAB5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decimales",IF(VLOOKUP(3,'RESUMEN LOTES'!B7:E15,4,FALSE)&lt;G18,"Importe ofertado supera max. € "&amp;VLOOKUP(3,'RESUMEN LOTES'!B7:E15,4,FALSE),IF(COUNTIFS($M$29:$M$64,"ok")&lt;&gt;9,"Debe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+IF(OR($G$18=0,LEN($G$18)=0),"¿?",IF(COUNTIFS($M$29:$M$64,"ok")&lt;&gt;9,"¿?",+IF(C17="Debe revisar Desglose 2 IMPORTE ofertado POR SEDE","¿?",+SUMIFS($J$76:$J$165,$H$76:$H$165,"Registro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oferta'!$B$18&amp;"T1_L03_TOT"</f>
        <v>T1_L03_TOT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oferta'!$B$18&amp;"T2_L03_cab0a"</f>
        <v>T2_L03_cab0a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oferta'!$B$18&amp;"T2_L03_cab0b"</f>
        <v>T2_L03_cab0b</v>
      </c>
      <c r="B27" s="163" t="s">
        <v>162</v>
      </c>
      <c r="C27" s="164" t="s">
        <v>420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oferta'!$B$18&amp;"T2_L03_cab1(CA)"</f>
        <v>T2_L03_cab1(CA)</v>
      </c>
      <c r="B28" s="170" t="s">
        <v>390</v>
      </c>
      <c r="C28" s="171" t="s">
        <v>163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21.95" customHeight="1" thickBot="1" x14ac:dyDescent="0.3">
      <c r="A29" s="147" t="str">
        <f>+'Anx I pg 1 oferta'!$B$18&amp;"T2_L03_inst_"&amp;B29</f>
        <v>T2_L03_inst_L03-01</v>
      </c>
      <c r="B29" s="176" t="s">
        <v>164</v>
      </c>
      <c r="C29" s="177" t="str">
        <f>+VLOOKUP(B29,'DATOS CENTROS'!B:F,4,FALSE)</f>
        <v>TRANSFORMACIÓN FONDOS DIGITALES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3.7999999999999999E-2</v>
      </c>
      <c r="G29" s="181" t="str">
        <f>+IF(OR($G$18=0,LEN($G$18)=0),"",+ROUND(((H29)/$G$18),6))</f>
        <v/>
      </c>
      <c r="H29" s="217"/>
      <c r="J29" s="183"/>
      <c r="K29" s="183"/>
      <c r="L29" s="183"/>
      <c r="M29" s="277" t="str">
        <f>+IFERROR(IF(N29&lt;&gt;TRUNC(N29,2),".+ de 2 decim.",IF(COUNTA($H$29:$H$64)&lt;9,9-COUNTA($H$29:$H$64)&amp;" Items ptes.ofertar ",IF(AND($G$18&gt;0,$H$33&gt;0,(N29)/(N29)=1),"ok","mal"))),"¿max.min.ofertado?")</f>
        <v>¿max.min.ofertado?</v>
      </c>
      <c r="N29" s="183" t="str">
        <f>+IF(OR($G$18=0,LEN($G$18)=0),"",IF(OR($G$18&lt;0,+$G$18/$G$18&lt;&gt;1),"Total oferta Lote incorrecto (no numérico o negativo)",IF(AND($G$18&gt;0,$H$33&gt;0,H29&lt;=0),"¿importe ofertado?",IF(AND($G$18&gt;0,$H$33&lt;0),"acum.of.oferta sede &gt;oferta lote",IF(AND($G$18&gt;0,$H$33&lt;&gt;0,H29&lt;VLOOKUP(B29,'% admitidos'!A:M,11,FALSE)),+"min."&amp;VLOOKUP(B29,'% admitidos'!A:M,11,FALSE),IF(AND($G$18&gt;0,$H$33&gt;0,H29&gt;VLOOKUP(B29,'%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2" customHeight="1" thickBot="1" x14ac:dyDescent="0.3">
      <c r="A30" s="147" t="s">
        <v>542</v>
      </c>
      <c r="B30" s="236" t="s">
        <v>390</v>
      </c>
      <c r="C30" s="24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61"/>
      <c r="E30" s="61"/>
      <c r="F30" s="67"/>
      <c r="G30" s="68"/>
      <c r="H30" s="123"/>
      <c r="J30" s="126"/>
      <c r="K30" s="126"/>
      <c r="L30" s="126"/>
      <c r="M30" s="279"/>
      <c r="N30" s="126"/>
    </row>
    <row r="31" spans="1:23" ht="21.95" customHeight="1" thickBot="1" x14ac:dyDescent="0.3">
      <c r="A31" s="147" t="str">
        <f>+'Anx I pg 1 oferta'!$B$18&amp;"T2_L03_inst_"&amp;B31</f>
        <v>T2_L03_inst_L03-02</v>
      </c>
      <c r="B31" s="176" t="s">
        <v>166</v>
      </c>
      <c r="C31" s="177" t="str">
        <f>+VLOOKUP(B31,'DATOS CENTROS'!B:F,4,FALSE)</f>
        <v>DIGITALIZACIÓN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4.3999999999999997E-2</v>
      </c>
      <c r="G31" s="181" t="str">
        <f>+IF(OR($G$18=0,LEN($G$18)=0),"",+ROUND(((H31)/$G$18),6))</f>
        <v/>
      </c>
      <c r="H31" s="217"/>
      <c r="J31" s="183"/>
      <c r="K31" s="183"/>
      <c r="L31" s="183"/>
      <c r="M31" s="277" t="str">
        <f>+IFERROR(IF(N31&lt;&gt;TRUNC(N31,2),".+ de 2 decim.",IF(COUNTA($H$29:$H$64)&lt;9,9-COUNTA($H$29:$H$64)&amp;" Items ptes.ofertar ",IF(AND($G$18&gt;0,$H$33&gt;0,(N31)/(N31)=1),"ok","mal"))),"¿max.min.ofertado?")</f>
        <v>¿max.min.ofertado?</v>
      </c>
      <c r="N31" s="183" t="str">
        <f>+IF(OR($G$18=0,LEN($G$18)=0),"",IF(OR($G$18&lt;0,+$G$18/$G$18&lt;&gt;1),"Total oferta Lote incorrecto (no numérico o negativo)",IF(AND($G$18&gt;0,$H$33&gt;0,H31&lt;=0),"¿importe ofertado?",IF(AND($G$18&gt;0,$H$33&lt;0),"acum.of.oferta sede &gt;oferta lote",IF(AND($G$18&gt;0,$H$33&gt;0,H31&lt;VLOOKUP(B31,'% admitidos'!A:M,11,FALSE)),+"min."&amp;VLOOKUP(B31,'% admitidos'!A:M,11,FALSE),IF(AND($G$18&gt;0,$H$33&gt;0,H31&gt;VLOOKUP(B31,'% admitidos'!A:M,13,FALSE)),+"max."&amp;VLOOKUP(B31,'% admitidos'!A:M,13,FALSE),+H31))))))</f>
        <v/>
      </c>
    </row>
    <row r="32" spans="1:23" ht="12" customHeight="1" thickTop="1" thickBot="1" x14ac:dyDescent="0.3">
      <c r="A32" s="147" t="s">
        <v>542</v>
      </c>
      <c r="B32" s="237" t="s">
        <v>390</v>
      </c>
      <c r="C32" s="248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135"/>
      <c r="E32" s="135"/>
      <c r="F32" s="136"/>
      <c r="G32" s="137"/>
      <c r="H32" s="138"/>
      <c r="J32" s="126"/>
      <c r="K32" s="126"/>
      <c r="L32" s="126"/>
      <c r="M32" s="279"/>
      <c r="N32" s="126"/>
    </row>
    <row r="33" spans="1:23" ht="21.95" customHeight="1" thickBot="1" x14ac:dyDescent="0.3">
      <c r="A33" s="147" t="str">
        <f>+'Anx I pg 1 oferta'!$B$18&amp;"T2_L03_inst_"&amp;B33</f>
        <v>T2_L03_inst_L03-03</v>
      </c>
      <c r="B33" s="176" t="s">
        <v>168</v>
      </c>
      <c r="C33" s="177" t="str">
        <f>+VLOOKUP(B33,'DATOS CENTROS'!B:F,4,FALSE)</f>
        <v>CASA DE LA RADIO</v>
      </c>
      <c r="D33" s="178"/>
      <c r="E33" s="179" t="str">
        <f>+VLOOKUP(B33,'DATOS CENTROS'!B:F,3,FALSE)</f>
        <v xml:space="preserve"> A + C</v>
      </c>
      <c r="F33" s="180">
        <f>+VLOOKUP(B33,'DATOS CENTROS'!B:F,5,FALSE)</f>
        <v>0.23499999999999999</v>
      </c>
      <c r="G33" s="195" t="str">
        <f>+IF(OR($G$18=0,LEN($G$18)=0),"",1-SUM(G29:G32)-SUM(G35:G64))</f>
        <v/>
      </c>
      <c r="H33" s="197" t="str">
        <f>+IF(OR($G$18=0,+LEN($G$18)=0),"",+$G$18-SUM(H29:H32)-SUM(H35:H64))</f>
        <v/>
      </c>
      <c r="J33" s="183"/>
      <c r="K33" s="183"/>
      <c r="L33" s="183"/>
      <c r="M33" s="277" t="str">
        <f>+IFERROR(IF(COUNTA($H$29:$H$64)&lt;9,9-COUNTA($H$29:$H$64)&amp;" Items ptes.ofertar ",IF(AND($G$18&gt;0,$H$37&gt;0,(N33)/(N33)=1),"ok","mal")),"¿max.min.ofertado?")</f>
        <v xml:space="preserve">8 Items ptes.ofertar </v>
      </c>
      <c r="N33" s="183" t="str">
        <f>+IF(OR($G$18=0,LEN($G$18)=0),"",IF(OR($G$18&lt;0,+$G$18/$G$18&lt;&gt;1),"Total oferta Lote incorrecto (no numérico o negativo)",IF(AND($G$18&gt;0,$H$33&gt;0,H33&lt;=0),"¿importe ofertado?",IF(AND($G$18&gt;0,$H$33&lt;0),"acum.of.oferta sede &gt;oferta lote",IF(AND($G$18&gt;0,$H$33&lt;&gt;0,H33&lt;VLOOKUP(B33,'% admitidos'!A:M,13,FALSE)),+"MIN."&amp;VLOOKUP(B33,'% admitidos'!A:M,13,FALSE),IF(AND($G$18&gt;0,$H$33&gt;0,H33&gt;VLOOKUP(B33,'% admitidos'!A:M,11,FALSE)),+"MAX."&amp;VLOOKUP(B33,'% admitidos'!A:M,11,FALSE),+H33))))))</f>
        <v/>
      </c>
    </row>
    <row r="34" spans="1:23" ht="12" customHeight="1" thickBot="1" x14ac:dyDescent="0.3">
      <c r="A34" s="147" t="s">
        <v>542</v>
      </c>
      <c r="B34" s="236" t="s">
        <v>390</v>
      </c>
      <c r="C34" s="240" t="str">
        <f>+IF(LEN('Anx I pg 1 oferta'!$C$56)&gt;0,"","MAX.  "&amp;VLOOKUP(B33,'% admitidos'!A:M,11,FALSE)&amp;" - med.  "&amp;VLOOKUP(B33,'% admitidos'!A:M,12,FALSE)&amp;" - MIN. "&amp;VLOOKUP(B33,'% admitidos'!A:M,13,FALSE))</f>
        <v>MAX.  0 - med.  0 - MIN. 0</v>
      </c>
      <c r="D34" s="61"/>
      <c r="E34" s="61"/>
      <c r="F34" s="67"/>
      <c r="G34" s="67"/>
      <c r="H34" s="123"/>
      <c r="J34" s="126"/>
      <c r="K34" s="126"/>
      <c r="L34" s="126"/>
      <c r="M34" s="279"/>
      <c r="N34" s="126"/>
    </row>
    <row r="35" spans="1:23" ht="21.95" customHeight="1" thickBot="1" x14ac:dyDescent="0.3">
      <c r="A35" s="147" t="str">
        <f>+'Anx I pg 1 oferta'!$B$18&amp;"T2_L03_inst_"&amp;B35</f>
        <v>T2_L03_inst_L03-04</v>
      </c>
      <c r="B35" s="186" t="s">
        <v>170</v>
      </c>
      <c r="C35" s="187" t="str">
        <f>+VLOOKUP(B35,'DATOS CENTROS'!B:F,4,FALSE)</f>
        <v>EE.4-5-6 Y CONTROL CENTRAL</v>
      </c>
      <c r="D35" s="188"/>
      <c r="E35" s="189" t="str">
        <f>+VLOOKUP(B35,'DATOS CENTROS'!B:F,3,FALSE)</f>
        <v xml:space="preserve"> A + C</v>
      </c>
      <c r="F35" s="220">
        <f>+VLOOKUP(B35,'DATOS CENTROS'!B:F,5,FALSE)</f>
        <v>6.6000000000000003E-2</v>
      </c>
      <c r="G35" s="190" t="str">
        <f>+IF(OR($G$18=0,LEN($G$18)=0),"",+ROUND(((H35)/$G$18),6))</f>
        <v/>
      </c>
      <c r="H35" s="218"/>
      <c r="J35" s="183"/>
      <c r="K35" s="183"/>
      <c r="L35" s="183"/>
      <c r="M35" s="277" t="str">
        <f>+IFERROR(IF(N35&lt;&gt;TRUNC(N35,2),".+ de 2 decim.",IF(COUNTA($H$29:$H$64)&lt;9,9-COUNTA($H$29:$H$64)&amp;" Items ptes.ofertar ",IF(AND($G$18&gt;0,$H$33&gt;0,(N35)/(N35)=1),"ok","mal"))),"¿max.min.ofertado?")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negativo)",IF(AND($G$18&gt;0,$H$33&gt;0,H35&lt;=0),"¿importe ofertado?",IF(AND($G$18&gt;0,$H$33&lt;0),"acum.of.oferta sede &gt;oferta lote",IF(AND($G$18&gt;0,$H$33&gt;0,H35&lt;VLOOKUP(B35,'% admitidos'!A:M,11,FALSE)),+"min."&amp;VLOOKUP(B35,'% admitidos'!A:M,11,FALSE),IF(AND($G$18&gt;0,$H$33&gt;0,H35&gt;VLOOKUP(B35,'% admitidos'!A:M,13,FALSE)),+"max."&amp;VLOOKUP(B35,'% admitidos'!A:M,13,FALSE),+H35))))))</f>
        <v/>
      </c>
    </row>
    <row r="36" spans="1:23" ht="12" customHeight="1" thickTop="1" thickBot="1" x14ac:dyDescent="0.3">
      <c r="A36" s="147" t="s">
        <v>542</v>
      </c>
      <c r="B36" s="152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69"/>
      <c r="G36" s="69"/>
      <c r="H36" s="71"/>
      <c r="J36" s="126"/>
      <c r="K36" s="126"/>
      <c r="L36" s="126"/>
      <c r="M36" s="279"/>
      <c r="N36" s="126"/>
    </row>
    <row r="37" spans="1:23" ht="21.95" customHeight="1" thickBot="1" x14ac:dyDescent="0.3">
      <c r="A37" s="147" t="str">
        <f>+'Anx I pg 1 oferta'!$B$18&amp;"T2_L03_inst_"&amp;B37</f>
        <v>T2_L03_inst_L03-05</v>
      </c>
      <c r="B37" s="176" t="s">
        <v>172</v>
      </c>
      <c r="C37" s="177" t="str">
        <f>+VLOOKUP(B37,'DATOS CENTROS'!B:F,4,FALSE)</f>
        <v>EDIFICIO TVE EE.1-2-3 Y CORONA</v>
      </c>
      <c r="D37" s="178"/>
      <c r="E37" s="179" t="str">
        <f>+VLOOKUP(B37,'DATOS CENTROS'!B:F,3,FALSE)</f>
        <v xml:space="preserve"> A + C</v>
      </c>
      <c r="F37" s="180">
        <f>+VLOOKUP(B37,'DATOS CENTROS'!B:F,5,FALSE)</f>
        <v>0.22</v>
      </c>
      <c r="G37" s="181" t="str">
        <f>+IF(OR($G$18=0,LEN($G$18)=0),"",+ROUND(((H37)/$G$18),6))</f>
        <v/>
      </c>
      <c r="H37" s="217"/>
      <c r="J37" s="183"/>
      <c r="K37" s="183"/>
      <c r="L37" s="183"/>
      <c r="M37" s="277" t="str">
        <f>+IFERROR(IF(N37&lt;&gt;TRUNC(N37,2),".+ de 2 decim.",IF(COUNTA($H$29:$H$64)&lt;9,9-COUNTA($H$29:$H$64)&amp;" Items ptes.ofertar ",IF(AND($G$18&gt;0,$H$33&gt;0,(N37)/(N37)=1),"ok","mal"))),"¿max.min.ofertado?")</f>
        <v>¿max.min.ofertado?</v>
      </c>
      <c r="N37" s="183" t="str">
        <f>+IF(OR($G$18=0,LEN($G$18)=0),"",IF(OR($G$18&lt;0,+$G$18/$G$18&lt;&gt;1),"Total oferta Lote incorrecto (no numérico o negativo)",IF(AND($G$18&gt;0,$H$33&gt;0,H37&lt;=0),"¿importe ofertado?",IF(AND($G$18&gt;0,$H$33&lt;0),"acum.of.oferta sede &gt;oferta lote",IF(AND($G$18&gt;0,$H$33&gt;0,H37&lt;VLOOKUP(B37,'% admitidos'!A:M,11,FALSE)),+"min."&amp;VLOOKUP(B37,'% admitidos'!A:M,11,FALSE),IF(AND($G$18&gt;0,$H$33&gt;0,H37&gt;VLOOKUP(B37,'% admitidos'!A:M,13,FALSE)),+"max."&amp;+ROUND(VLOOKUP(B37,'% admitidos'!A:M,13,FALSE),4),+H37))))))</f>
        <v/>
      </c>
    </row>
    <row r="38" spans="1:23" ht="12" customHeight="1" thickTop="1" thickBot="1" x14ac:dyDescent="0.3">
      <c r="A38" s="147" t="s">
        <v>542</v>
      </c>
      <c r="B38" s="237" t="s">
        <v>390</v>
      </c>
      <c r="C38" s="248" t="str">
        <f>+IF(LEN('Anx I pg 1 oferta'!$C$56)&gt;0,"","min. "&amp;VLOOKUP(B37,'% admitidos'!A:M,11,FALSE)&amp;" - med.  "&amp;VLOOKUP(B37,'% admitidos'!A:M,12,FALSE)&amp;" - max.  "&amp;+ROUND(VLOOKUP(B37,'% admitidos'!A:M,13,FALSE),6))</f>
        <v>min. 0 - med.  0 - max.  0</v>
      </c>
      <c r="D38" s="135"/>
      <c r="E38" s="135"/>
      <c r="F38" s="135"/>
      <c r="G38" s="135"/>
      <c r="H38" s="144"/>
      <c r="J38" s="107"/>
      <c r="K38" s="107"/>
      <c r="L38" s="107"/>
      <c r="M38" s="279"/>
      <c r="N38" s="107"/>
    </row>
    <row r="39" spans="1:23" ht="21.95" customHeight="1" thickBot="1" x14ac:dyDescent="0.3">
      <c r="A39" s="147" t="str">
        <f>+'Anx I pg 1 oferta'!$B$18&amp;"T2_L03_inst_"&amp;B39</f>
        <v>T2_L03_inst_L03-06</v>
      </c>
      <c r="B39" s="176" t="s">
        <v>174</v>
      </c>
      <c r="C39" s="177" t="str">
        <f>+VLOOKUP(B39,'DATOS CENTROS'!B:F,4,FALSE)</f>
        <v>CONTROL ACCESOS</v>
      </c>
      <c r="D39" s="178"/>
      <c r="E39" s="179" t="str">
        <f>+VLOOKUP(B39,'DATOS CENTROS'!B:F,3,FALSE)</f>
        <v xml:space="preserve"> A + C</v>
      </c>
      <c r="F39" s="180">
        <f>+VLOOKUP(B39,'DATOS CENTROS'!B:F,5,FALSE)</f>
        <v>2.7E-2</v>
      </c>
      <c r="G39" s="181" t="str">
        <f>+IF(OR($G$18=0,LEN($G$18)=0),"",+ROUND(((H39)/$G$18),6))</f>
        <v/>
      </c>
      <c r="H39" s="217"/>
      <c r="J39" s="183"/>
      <c r="K39" s="183"/>
      <c r="L39" s="183"/>
      <c r="M39" s="277" t="str">
        <f>+IFERROR(IF(N39&lt;&gt;TRUNC(N39,2),".+ de 2 decim.",IF(COUNTA($H$29:$H$64)&lt;9,9-COUNTA($H$29:$H$64)&amp;" Items ptes.ofertar ",IF(AND($G$18&gt;0,$H$33&gt;0,(N39)/(N39)=1),"ok","mal"))),"¿max.min.ofertado?")</f>
        <v>¿max.min.ofertado?</v>
      </c>
      <c r="N39" s="183" t="str">
        <f>+IF(OR($G$18=0,LEN($G$18)=0),"",IF(OR($G$18&lt;0,+$G$18/$G$18&lt;&gt;1),"Total oferta Lote incorrecto (no numérico o negativo)",IF(AND($G$18&gt;0,$H$33&gt;0,H39&lt;=0),"¿importe ofertado?",IF(AND($G$18&gt;0,$H$33&lt;0),"acum.of.oferta sede &gt;oferta lote",IF(AND($G$18&gt;0,$H$33&gt;0,H39&lt;VLOOKUP(B39,'% admitidos'!A:M,11,FALSE)),+"min."&amp;VLOOKUP(B39,'% admitidos'!A:M,11,FALSE),IF(AND($G$18&gt;0,$H$33&gt;0,H39&gt;VLOOKUP(B39,'% admitidos'!A:M,13,FALSE)),+"max."&amp;+ROUND(VLOOKUP(B39,'% admitidos'!A:M,13,FALSE),4),+H39))))))</f>
        <v/>
      </c>
      <c r="Q39" s="101"/>
      <c r="R39" s="101"/>
      <c r="S39" s="101"/>
      <c r="T39" s="101"/>
      <c r="U39" s="101"/>
      <c r="V39" s="101"/>
      <c r="W39" s="101"/>
    </row>
    <row r="40" spans="1:23" ht="12" customHeight="1" thickTop="1" thickBot="1" x14ac:dyDescent="0.3">
      <c r="A40" s="147" t="s">
        <v>542</v>
      </c>
      <c r="B40" s="236" t="s">
        <v>390</v>
      </c>
      <c r="C40" s="248" t="str">
        <f>+IF(LEN('Anx I pg 1 oferta'!$C$56)&gt;0,"","min. "&amp;VLOOKUP(B39,'% admitidos'!A:M,11,FALSE)&amp;" - med.  "&amp;VLOOKUP(B39,'% admitidos'!A:M,12,FALSE)&amp;" - max.  "&amp;+ROUND(VLOOKUP(B39,'% admitidos'!A:M,13,FALSE),6))</f>
        <v>min. 0 - med.  0 - max.  0</v>
      </c>
      <c r="D40" s="61"/>
      <c r="E40" s="61"/>
      <c r="F40" s="67"/>
      <c r="G40" s="68"/>
      <c r="H40" s="123"/>
      <c r="J40" s="126"/>
      <c r="K40" s="126"/>
      <c r="L40" s="126"/>
      <c r="M40" s="279"/>
      <c r="N40" s="126"/>
    </row>
    <row r="41" spans="1:23" ht="21.95" customHeight="1" thickBot="1" x14ac:dyDescent="0.3">
      <c r="A41" s="147" t="str">
        <f>+'Anx I pg 1 oferta'!$B$18&amp;"T2_L03_inst_"&amp;B41</f>
        <v>T2_L03_inst_L03-07</v>
      </c>
      <c r="B41" s="186" t="s">
        <v>176</v>
      </c>
      <c r="C41" s="187" t="str">
        <f>+VLOOKUP(B41,'DATOS CENTROS'!B:F,4,FALSE)</f>
        <v>SERVICIOS MEDICOS</v>
      </c>
      <c r="D41" s="188"/>
      <c r="E41" s="189" t="str">
        <f>+VLOOKUP(B41,'DATOS CENTROS'!B:F,3,FALSE)</f>
        <v xml:space="preserve"> A + C</v>
      </c>
      <c r="F41" s="220">
        <f>+VLOOKUP(B41,'DATOS CENTROS'!B:F,5,FALSE)</f>
        <v>3.4000000000000002E-2</v>
      </c>
      <c r="G41" s="190" t="str">
        <f>+IF(OR($G$18=0,LEN($G$18)=0),"",+ROUND(((H41)/$G$18),6))</f>
        <v/>
      </c>
      <c r="H41" s="218"/>
      <c r="J41" s="183"/>
      <c r="K41" s="183"/>
      <c r="L41" s="183"/>
      <c r="M41" s="277" t="str">
        <f>+IFERROR(IF(N41&lt;&gt;TRUNC(N41,2),".+ de 2 decim.",IF(COUNTA($H$29:$H$64)&lt;9,9-COUNTA($H$29:$H$64)&amp;" Items ptes.ofertar ",IF(AND($G$18&gt;0,$H$33&gt;0,(N41)/(N41)=1),"ok","mal"))),"¿max.min.ofertado?")</f>
        <v>¿max.min.ofertado?</v>
      </c>
      <c r="N41" s="183" t="str">
        <f>+IF(OR($G$18=0,LEN($G$18)=0),"",IF(OR($G$18&lt;0,+$G$18/$G$18&lt;&gt;1),"Total oferta Lote incorrecto (no numérico o negativo)",IF(AND($G$18&gt;0,$H$33&gt;0,H41&lt;=0),"¿importe ofertado?",IF(AND($G$18&gt;0,$H$33&lt;0),"acum.of.oferta sede &gt;oferta lote",IF(AND($G$18&gt;0,$H$33&gt;0,H41&lt;VLOOKUP(B41,'% admitidos'!A:M,11,FALSE)),+"min."&amp;VLOOKUP(B41,'% admitidos'!A:M,11,FALSE),IF(AND($G$18&gt;0,$H$33&gt;0,H41&gt;VLOOKUP(B41,'% admitidos'!A:M,13,FALSE)),+"max."&amp;VLOOKUP(B41,'% admitidos'!A:M,13,FALSE),+H41))))))</f>
        <v/>
      </c>
    </row>
    <row r="42" spans="1:23" ht="12" customHeight="1" thickTop="1" thickBot="1" x14ac:dyDescent="0.3">
      <c r="A42" s="147" t="s">
        <v>542</v>
      </c>
      <c r="B42" s="152" t="s">
        <v>390</v>
      </c>
      <c r="C42" s="254" t="str">
        <f>+IF(LEN('Anx I pg 1 oferta'!$C$56)&gt;0,"","min. "&amp;VLOOKUP(B41,'% admitidos'!A:M,11,FALSE)&amp;" - med.  "&amp;VLOOKUP(B41,'% admitidos'!A:M,12,FALSE)&amp;" - max.  "&amp;VLOOKUP(B41,'% admitidos'!A:M,13,FALSE))</f>
        <v>min. 0 - med.  0 - max.  0</v>
      </c>
      <c r="D42" s="54"/>
      <c r="E42" s="54"/>
      <c r="F42" s="69"/>
      <c r="G42" s="70"/>
      <c r="H42" s="124"/>
      <c r="J42" s="126"/>
      <c r="K42" s="126"/>
      <c r="L42" s="126"/>
      <c r="M42" s="279"/>
      <c r="N42" s="126"/>
    </row>
    <row r="43" spans="1:23" ht="21.95" customHeight="1" thickBot="1" x14ac:dyDescent="0.3">
      <c r="A43" s="147" t="str">
        <f>+'Anx I pg 1 oferta'!$B$18&amp;"T2_L03_inst_"&amp;B43</f>
        <v>T2_L03_inst_L03-08</v>
      </c>
      <c r="B43" s="176" t="s">
        <v>178</v>
      </c>
      <c r="C43" s="177" t="str">
        <f>+VLOOKUP(B43,'DATOS CENTROS'!B:F,4,FALSE)</f>
        <v>AA.SS.-COMEDORES</v>
      </c>
      <c r="D43" s="178"/>
      <c r="E43" s="179" t="str">
        <f>+VLOOKUP(B43,'DATOS CENTROS'!B:F,3,FALSE)</f>
        <v xml:space="preserve"> A + C</v>
      </c>
      <c r="F43" s="180">
        <f>+VLOOKUP(B43,'DATOS CENTROS'!B:F,5,FALSE)</f>
        <v>0.112</v>
      </c>
      <c r="G43" s="181" t="str">
        <f>+IF(OR($G$18=0,LEN($G$18)=0),"",+ROUND(((H43)/$G$18),6))</f>
        <v/>
      </c>
      <c r="H43" s="217"/>
      <c r="J43" s="183"/>
      <c r="K43" s="183"/>
      <c r="L43" s="183"/>
      <c r="M43" s="277" t="str">
        <f>+IFERROR(IF(N43&lt;&gt;TRUNC(N43,2),".+ de 2 decim.",IF(COUNTA($H$29:$H$64)&lt;9,9-COUNTA($H$29:$H$64)&amp;" Items ptes.ofertar ",IF(AND($G$18&gt;0,$H$33&gt;0,(N43)/(N43)=1),"ok","mal"))),"¿max.min.ofertado?")</f>
        <v>¿max.min.ofertado?</v>
      </c>
      <c r="N43" s="183" t="str">
        <f>+IF(OR($G$18=0,LEN($G$18)=0),"",IF(OR($G$18&lt;0,+$G$18/$G$18&lt;&gt;1),"Total oferta Lote incorrecto (no numérico o negativo)",IF(AND($G$18&gt;0,$H$33&gt;0,H43&lt;=0),"¿importe ofertado?",IF(AND($G$18&gt;0,$H$33&lt;0),"acum.of.oferta sede &gt;oferta lote",IF(AND($G$18&gt;0,$H$33&gt;0,H43&lt;VLOOKUP(B43,'% admitidos'!A:M,11,FALSE)),+"min."&amp;VLOOKUP(B43,'% admitidos'!A:M,11,FALSE),IF(AND($G$18&gt;0,$H$33&gt;0,H43&gt;VLOOKUP(B43,'% admitidos'!A:M,13,FALSE)),+"max."&amp;VLOOKUP(B43,'% admitidos'!A:M,13,FALSE),+H43))))))</f>
        <v/>
      </c>
    </row>
    <row r="44" spans="1:23" ht="12" customHeight="1" thickBot="1" x14ac:dyDescent="0.3">
      <c r="A44" s="147" t="s">
        <v>542</v>
      </c>
      <c r="B44" s="236" t="s">
        <v>390</v>
      </c>
      <c r="C44" s="240" t="str">
        <f>+IF(LEN('Anx I pg 1 oferta'!$C$56)&gt;0,"","min. "&amp;VLOOKUP(B43,'% admitidos'!A:M,11,FALSE)&amp;" - med.  "&amp;VLOOKUP(B43,'% admitidos'!A:M,12,FALSE)&amp;" - max.  "&amp;VLOOKUP(B43,'% admitidos'!A:M,13,FALSE))</f>
        <v>min. 0 - med.  0 - max.  0</v>
      </c>
      <c r="D44" s="61"/>
      <c r="E44" s="61"/>
      <c r="F44" s="67"/>
      <c r="G44" s="67"/>
      <c r="H44" s="123"/>
      <c r="J44" s="126"/>
      <c r="K44" s="126"/>
      <c r="L44" s="126"/>
      <c r="M44" s="279"/>
      <c r="N44" s="126"/>
    </row>
    <row r="45" spans="1:23" ht="21.95" customHeight="1" thickBot="1" x14ac:dyDescent="0.3">
      <c r="A45" s="147" t="str">
        <f>+'Anx I pg 1 oferta'!$B$18&amp;"T2_L03_inst_"&amp;B45</f>
        <v>T2_L03_inst_L03-09</v>
      </c>
      <c r="B45" s="176" t="s">
        <v>180</v>
      </c>
      <c r="C45" s="177" t="str">
        <f>+VLOOKUP(B45,'DATOS CENTROS'!B:F,4,FALSE)</f>
        <v>EDIFICIO PRADO DEL REY (EPR)</v>
      </c>
      <c r="D45" s="178"/>
      <c r="E45" s="179" t="str">
        <f>+VLOOKUP(B45,'DATOS CENTROS'!B:F,3,FALSE)</f>
        <v xml:space="preserve"> A + C</v>
      </c>
      <c r="F45" s="180">
        <f>+VLOOKUP(B45,'DATOS CENTROS'!B:F,5,FALSE)</f>
        <v>0.224</v>
      </c>
      <c r="G45" s="181" t="str">
        <f>+IF(OR($G$18=0,LEN($G$18)=0),"",+ROUND(((H45)/$G$18),6))</f>
        <v/>
      </c>
      <c r="H45" s="217"/>
      <c r="J45" s="183"/>
      <c r="K45" s="183"/>
      <c r="L45" s="183"/>
      <c r="M45" s="277" t="str">
        <f>+IFERROR(IF(N45&lt;&gt;TRUNC(N45,2),".+ de 2 decim.",IF(COUNTA($H$29:$H$64)&lt;9,9-COUNTA($H$29:$H$64)&amp;" Items ptes.ofertar ",IF(AND($G$18&gt;0,$H$33&gt;0,(N45)/(N45)=1),"ok","mal"))),"¿max.min.ofertado?")</f>
        <v>¿max.min.ofertado?</v>
      </c>
      <c r="N45" s="183" t="str">
        <f>+IF(OR($G$18=0,LEN($G$18)=0),"",IF(OR($G$18&lt;0,+$G$18/$G$18&lt;&gt;1),"Total oferta Lote incorrecto (no numérico o negativo)",IF(AND($G$18&gt;0,$H$33&gt;0,H45&lt;=0),"¿importe ofertado?",IF(AND($G$18&gt;0,$H$33&lt;0),"acum.of.oferta sede &gt;oferta lote",IF(AND($G$18&gt;0,$H$33&gt;0,H45&lt;VLOOKUP(B45,'% admitidos'!A:M,11,FALSE)),+"min."&amp;VLOOKUP(B45,'% admitidos'!A:M,11,FALSE),IF(AND($G$18&gt;0,$H$33&gt;0,H45&gt;VLOOKUP(B45,'% admitidos'!A:M,13,FALSE)),+"max."&amp;VLOOKUP(B45,'% admitidos'!A:M,13,FALSE),+H45))))))</f>
        <v/>
      </c>
    </row>
    <row r="46" spans="1:23" ht="12" customHeight="1" thickBot="1" x14ac:dyDescent="0.3">
      <c r="A46" s="147" t="s">
        <v>542</v>
      </c>
      <c r="B46" s="236" t="s">
        <v>390</v>
      </c>
      <c r="C46" s="240" t="str">
        <f>+IF(LEN('Anx I pg 1 oferta'!$C$56)&gt;0,"","min. "&amp;VLOOKUP(B45,'% admitidos'!A:M,11,FALSE)&amp;" - med.  "&amp;VLOOKUP(B45,'% admitidos'!A:M,12,FALSE)&amp;" - max.  "&amp;VLOOKUP(B45,'% admitidos'!A:M,13,FALSE))</f>
        <v>min. 0 - med.  0 - max.  0</v>
      </c>
      <c r="D46" s="61"/>
      <c r="E46" s="61"/>
      <c r="F46" s="67"/>
      <c r="G46" s="67"/>
      <c r="H46" s="145"/>
      <c r="J46" s="126"/>
      <c r="K46" s="126"/>
      <c r="L46" s="126"/>
      <c r="M46" s="87"/>
      <c r="N46" s="126"/>
    </row>
    <row r="47" spans="1:23" ht="30" hidden="1" customHeight="1" thickBot="1" x14ac:dyDescent="0.3">
      <c r="A47" s="147" t="s">
        <v>544</v>
      </c>
      <c r="B47" s="221" t="s">
        <v>390</v>
      </c>
      <c r="C47" s="192"/>
      <c r="D47" s="193"/>
      <c r="E47" s="194"/>
      <c r="F47" s="220"/>
      <c r="G47" s="195"/>
      <c r="H47" s="196"/>
      <c r="J47" s="183"/>
      <c r="K47" s="183"/>
      <c r="L47" s="183"/>
      <c r="M47" s="184"/>
      <c r="N47" s="183"/>
    </row>
    <row r="48" spans="1:23" ht="15.75" hidden="1" thickBot="1" x14ac:dyDescent="0.3">
      <c r="A48" s="147" t="s">
        <v>544</v>
      </c>
      <c r="B48" s="152" t="s">
        <v>390</v>
      </c>
      <c r="C48" s="53"/>
      <c r="D48" s="54"/>
      <c r="E48" s="54"/>
      <c r="F48" s="54"/>
      <c r="G48" s="54"/>
      <c r="H48" s="55"/>
      <c r="J48" s="107"/>
      <c r="K48" s="107"/>
      <c r="L48" s="107"/>
      <c r="M48" s="56"/>
      <c r="N48" s="107"/>
    </row>
    <row r="49" spans="1:23" ht="30" hidden="1" customHeight="1" thickBot="1" x14ac:dyDescent="0.3">
      <c r="A49" s="147" t="s">
        <v>544</v>
      </c>
      <c r="B49" s="221" t="s">
        <v>390</v>
      </c>
      <c r="C49" s="177"/>
      <c r="D49" s="178"/>
      <c r="E49" s="179"/>
      <c r="F49" s="180"/>
      <c r="G49" s="181"/>
      <c r="H49" s="182"/>
      <c r="J49" s="183"/>
      <c r="K49" s="183"/>
      <c r="L49" s="183"/>
      <c r="M49" s="184"/>
      <c r="N49" s="183"/>
      <c r="Q49" s="101"/>
      <c r="R49" s="101"/>
      <c r="S49" s="101"/>
      <c r="T49" s="101"/>
      <c r="U49" s="101"/>
      <c r="V49" s="101"/>
      <c r="W49" s="101"/>
    </row>
    <row r="50" spans="1:23" ht="15.75" hidden="1" thickBot="1" x14ac:dyDescent="0.3">
      <c r="A50" s="147" t="s">
        <v>544</v>
      </c>
      <c r="B50" s="236" t="s">
        <v>390</v>
      </c>
      <c r="C50" s="60"/>
      <c r="D50" s="61"/>
      <c r="E50" s="61"/>
      <c r="F50" s="67"/>
      <c r="G50" s="68"/>
      <c r="H50" s="123"/>
      <c r="J50" s="126"/>
      <c r="K50" s="126"/>
      <c r="L50" s="126"/>
      <c r="M50" s="87"/>
      <c r="N50" s="126"/>
    </row>
    <row r="51" spans="1:23" ht="30" hidden="1" customHeight="1" thickBot="1" x14ac:dyDescent="0.3">
      <c r="A51" s="147" t="s">
        <v>544</v>
      </c>
      <c r="B51" s="221" t="s">
        <v>390</v>
      </c>
      <c r="C51" s="177"/>
      <c r="D51" s="178"/>
      <c r="E51" s="179"/>
      <c r="F51" s="180"/>
      <c r="G51" s="181"/>
      <c r="H51" s="182"/>
      <c r="J51" s="183"/>
      <c r="K51" s="183"/>
      <c r="L51" s="183"/>
      <c r="M51" s="184"/>
      <c r="N51" s="183"/>
    </row>
    <row r="52" spans="1:23" ht="16.5" hidden="1" thickTop="1" thickBot="1" x14ac:dyDescent="0.3">
      <c r="A52" s="147" t="s">
        <v>544</v>
      </c>
      <c r="B52" s="237" t="s">
        <v>390</v>
      </c>
      <c r="C52" s="134"/>
      <c r="D52" s="135"/>
      <c r="E52" s="135"/>
      <c r="F52" s="136"/>
      <c r="G52" s="137"/>
      <c r="H52" s="138"/>
      <c r="J52" s="126"/>
      <c r="K52" s="126"/>
      <c r="L52" s="126"/>
      <c r="M52" s="87"/>
      <c r="N52" s="126"/>
    </row>
    <row r="53" spans="1:23" ht="30" hidden="1" customHeight="1" thickBot="1" x14ac:dyDescent="0.3">
      <c r="A53" s="147" t="s">
        <v>544</v>
      </c>
      <c r="B53" s="221" t="s">
        <v>390</v>
      </c>
      <c r="C53" s="177"/>
      <c r="D53" s="178"/>
      <c r="E53" s="179"/>
      <c r="F53" s="180"/>
      <c r="G53" s="181"/>
      <c r="H53" s="182"/>
      <c r="J53" s="183"/>
      <c r="K53" s="183"/>
      <c r="L53" s="183"/>
      <c r="M53" s="184"/>
      <c r="N53" s="183"/>
    </row>
    <row r="54" spans="1:23" ht="15.75" hidden="1" thickBot="1" x14ac:dyDescent="0.3">
      <c r="A54" s="147" t="s">
        <v>544</v>
      </c>
      <c r="B54" s="236" t="s">
        <v>390</v>
      </c>
      <c r="C54" s="60"/>
      <c r="D54" s="61"/>
      <c r="E54" s="61"/>
      <c r="F54" s="67"/>
      <c r="G54" s="67"/>
      <c r="H54" s="123"/>
      <c r="J54" s="126"/>
      <c r="K54" s="126"/>
      <c r="L54" s="126"/>
      <c r="M54" s="87"/>
      <c r="N54" s="126"/>
    </row>
    <row r="55" spans="1:23" ht="30" hidden="1" customHeight="1" thickBot="1" x14ac:dyDescent="0.3">
      <c r="A55" s="147" t="s">
        <v>544</v>
      </c>
      <c r="B55" s="221" t="s">
        <v>390</v>
      </c>
      <c r="C55" s="187"/>
      <c r="D55" s="188"/>
      <c r="E55" s="189"/>
      <c r="F55" s="220"/>
      <c r="G55" s="190"/>
      <c r="H55" s="185"/>
      <c r="J55" s="183"/>
      <c r="K55" s="183"/>
      <c r="L55" s="183"/>
      <c r="M55" s="184"/>
      <c r="N55" s="183"/>
    </row>
    <row r="56" spans="1:23" ht="15.75" hidden="1" thickBot="1" x14ac:dyDescent="0.3">
      <c r="A56" s="147" t="s">
        <v>544</v>
      </c>
      <c r="B56" s="236" t="s">
        <v>390</v>
      </c>
      <c r="C56" s="53"/>
      <c r="D56" s="54"/>
      <c r="E56" s="54"/>
      <c r="F56" s="69"/>
      <c r="G56" s="69"/>
      <c r="H56" s="71"/>
      <c r="J56" s="126"/>
      <c r="K56" s="126"/>
      <c r="L56" s="126"/>
      <c r="M56" s="87"/>
      <c r="N56" s="126"/>
    </row>
    <row r="57" spans="1:23" ht="30" hidden="1" customHeight="1" thickBot="1" x14ac:dyDescent="0.3">
      <c r="A57" s="147" t="s">
        <v>544</v>
      </c>
      <c r="B57" s="221" t="s">
        <v>390</v>
      </c>
      <c r="C57" s="177"/>
      <c r="D57" s="178"/>
      <c r="E57" s="179"/>
      <c r="F57" s="180"/>
      <c r="G57" s="181"/>
      <c r="H57" s="182"/>
      <c r="J57" s="183"/>
      <c r="K57" s="183"/>
      <c r="L57" s="183"/>
      <c r="M57" s="184"/>
      <c r="N57" s="183"/>
    </row>
    <row r="58" spans="1:23" ht="16.5" hidden="1" thickTop="1" thickBot="1" x14ac:dyDescent="0.3">
      <c r="A58" s="147" t="s">
        <v>544</v>
      </c>
      <c r="B58" s="236" t="s">
        <v>390</v>
      </c>
      <c r="C58" s="134"/>
      <c r="D58" s="135"/>
      <c r="E58" s="135"/>
      <c r="F58" s="135"/>
      <c r="G58" s="135"/>
      <c r="H58" s="144"/>
      <c r="J58" s="107"/>
      <c r="K58" s="107"/>
      <c r="L58" s="107"/>
      <c r="M58" s="56"/>
      <c r="N58" s="107"/>
    </row>
    <row r="59" spans="1:23" ht="30" hidden="1" customHeight="1" thickBot="1" x14ac:dyDescent="0.3">
      <c r="A59" s="147" t="s">
        <v>544</v>
      </c>
      <c r="B59" s="221" t="s">
        <v>390</v>
      </c>
      <c r="C59" s="177"/>
      <c r="D59" s="178"/>
      <c r="E59" s="179"/>
      <c r="F59" s="180"/>
      <c r="G59" s="181"/>
      <c r="H59" s="182"/>
      <c r="J59" s="183"/>
      <c r="K59" s="183"/>
      <c r="L59" s="183"/>
      <c r="M59" s="184"/>
      <c r="N59" s="183"/>
      <c r="Q59" s="101"/>
      <c r="R59" s="101"/>
      <c r="S59" s="101"/>
      <c r="T59" s="101"/>
      <c r="U59" s="101"/>
      <c r="V59" s="101"/>
      <c r="W59" s="101"/>
    </row>
    <row r="60" spans="1:23" ht="15.75" hidden="1" thickBot="1" x14ac:dyDescent="0.3">
      <c r="A60" s="147" t="s">
        <v>544</v>
      </c>
      <c r="B60" s="236" t="s">
        <v>390</v>
      </c>
      <c r="C60" s="60"/>
      <c r="D60" s="61"/>
      <c r="E60" s="61"/>
      <c r="F60" s="67"/>
      <c r="G60" s="68"/>
      <c r="H60" s="123"/>
      <c r="J60" s="126"/>
      <c r="K60" s="126"/>
      <c r="L60" s="126"/>
      <c r="M60" s="87"/>
      <c r="N60" s="126"/>
    </row>
    <row r="61" spans="1:23" ht="30" hidden="1" customHeight="1" thickBot="1" x14ac:dyDescent="0.3">
      <c r="A61" s="147" t="s">
        <v>544</v>
      </c>
      <c r="B61" s="221" t="s">
        <v>390</v>
      </c>
      <c r="C61" s="187"/>
      <c r="D61" s="188"/>
      <c r="E61" s="189"/>
      <c r="F61" s="220"/>
      <c r="G61" s="190"/>
      <c r="H61" s="185"/>
      <c r="J61" s="183"/>
      <c r="K61" s="183"/>
      <c r="L61" s="183"/>
      <c r="M61" s="184"/>
      <c r="N61" s="183"/>
    </row>
    <row r="62" spans="1:23" ht="15.75" hidden="1" thickBot="1" x14ac:dyDescent="0.3">
      <c r="A62" s="147" t="s">
        <v>544</v>
      </c>
      <c r="B62" s="236" t="s">
        <v>390</v>
      </c>
      <c r="C62" s="53"/>
      <c r="D62" s="54"/>
      <c r="E62" s="54"/>
      <c r="F62" s="69"/>
      <c r="G62" s="70"/>
      <c r="H62" s="124"/>
      <c r="J62" s="126"/>
      <c r="K62" s="126"/>
      <c r="L62" s="126"/>
      <c r="M62" s="87"/>
      <c r="N62" s="126"/>
    </row>
    <row r="63" spans="1:23" ht="30" hidden="1" customHeight="1" thickBot="1" x14ac:dyDescent="0.3">
      <c r="A63" s="147" t="s">
        <v>544</v>
      </c>
      <c r="B63" s="221" t="s">
        <v>390</v>
      </c>
      <c r="C63" s="177"/>
      <c r="D63" s="178"/>
      <c r="E63" s="179"/>
      <c r="F63" s="180"/>
      <c r="G63" s="181"/>
      <c r="H63" s="182"/>
      <c r="J63" s="183"/>
      <c r="K63" s="183"/>
      <c r="L63" s="183"/>
      <c r="M63" s="184"/>
      <c r="N63" s="183"/>
    </row>
    <row r="64" spans="1:23" ht="15.75" hidden="1" thickBot="1" x14ac:dyDescent="0.3">
      <c r="A64" s="147" t="s">
        <v>544</v>
      </c>
      <c r="B64" s="236" t="s">
        <v>390</v>
      </c>
      <c r="C64" s="60"/>
      <c r="D64" s="61"/>
      <c r="E64" s="61"/>
      <c r="F64" s="67"/>
      <c r="G64" s="67"/>
      <c r="H64" s="123"/>
      <c r="J64" s="87"/>
      <c r="N64" s="126"/>
    </row>
    <row r="65" spans="1:16" x14ac:dyDescent="0.25">
      <c r="A65" s="147" t="str">
        <f>+'Anx I pg 1 oferta'!$B$18&amp;"T2_L03_TOT"</f>
        <v>T2_L03_TOT</v>
      </c>
      <c r="B65" s="122"/>
      <c r="C65" s="122"/>
      <c r="D65" s="122"/>
      <c r="E65" s="122"/>
      <c r="F65" s="285">
        <f>SUM(F29:F64)</f>
        <v>1</v>
      </c>
      <c r="G65" s="286">
        <f>SUM(G29:G64)</f>
        <v>0</v>
      </c>
      <c r="H65" s="287">
        <f>SUM(H29:H64)</f>
        <v>0</v>
      </c>
      <c r="I65" s="15"/>
    </row>
    <row r="66" spans="1:16" x14ac:dyDescent="0.25">
      <c r="A66" s="147" t="s">
        <v>544</v>
      </c>
    </row>
    <row r="67" spans="1:16" x14ac:dyDescent="0.25">
      <c r="A67" s="147" t="s">
        <v>544</v>
      </c>
      <c r="M67" s="82"/>
      <c r="P67" s="82"/>
    </row>
    <row r="68" spans="1:16" x14ac:dyDescent="0.25">
      <c r="A68" s="147" t="s">
        <v>544</v>
      </c>
    </row>
    <row r="69" spans="1:16" ht="30" customHeight="1" x14ac:dyDescent="0.25">
      <c r="A69" s="147" t="s">
        <v>544</v>
      </c>
      <c r="B69" s="226" t="s">
        <v>530</v>
      </c>
    </row>
    <row r="70" spans="1:16" x14ac:dyDescent="0.25">
      <c r="A70" s="147" t="s">
        <v>544</v>
      </c>
    </row>
    <row r="71" spans="1:16" x14ac:dyDescent="0.25">
      <c r="A71" s="147" t="s">
        <v>544</v>
      </c>
      <c r="B71" s="2" t="s">
        <v>535</v>
      </c>
    </row>
    <row r="72" spans="1:16" ht="15.75" customHeight="1" thickBot="1" x14ac:dyDescent="0.3">
      <c r="A72" s="147" t="s">
        <v>544</v>
      </c>
      <c r="B72" s="2" t="str">
        <f>+$B$11</f>
        <v>Lote  3 : Comunidad de Madrid, sede Prado del Rey</v>
      </c>
    </row>
    <row r="73" spans="1:16" ht="24.75" thickBot="1" x14ac:dyDescent="0.3">
      <c r="A73" s="147" t="str">
        <f>+'Anx I pg 1 oferta'!$B$18&amp;"T3_L03_cab0a"</f>
        <v>T3_L03_cab0a</v>
      </c>
      <c r="B73" s="200" t="s">
        <v>59</v>
      </c>
      <c r="C73" s="200" t="s">
        <v>379</v>
      </c>
      <c r="D73" s="200" t="s">
        <v>60</v>
      </c>
      <c r="E73" s="200" t="s">
        <v>359</v>
      </c>
      <c r="F73" s="201" t="s">
        <v>378</v>
      </c>
      <c r="G73" s="105" t="s">
        <v>533</v>
      </c>
      <c r="H73" s="103" t="s">
        <v>360</v>
      </c>
      <c r="I73" s="103" t="s">
        <v>361</v>
      </c>
      <c r="J73" s="106" t="s">
        <v>380</v>
      </c>
      <c r="K73" s="274" t="s">
        <v>490</v>
      </c>
      <c r="L73" s="202"/>
    </row>
    <row r="74" spans="1:16" ht="15.75" thickBot="1" x14ac:dyDescent="0.3">
      <c r="A74" s="147" t="str">
        <f>+'Anx I pg 1 oferta'!$B$18&amp;"T3_L03_cab0b"</f>
        <v>T3_L03_cab0b</v>
      </c>
      <c r="B74" s="203" t="s">
        <v>162</v>
      </c>
      <c r="C74" s="204" t="s">
        <v>420</v>
      </c>
      <c r="D74" s="205"/>
      <c r="E74" s="206"/>
      <c r="F74" s="207">
        <v>1</v>
      </c>
      <c r="G74" s="208"/>
      <c r="H74" s="205"/>
      <c r="I74" s="205"/>
      <c r="J74" s="205"/>
      <c r="K74" s="206"/>
      <c r="L74" s="202"/>
    </row>
    <row r="75" spans="1:16" ht="15.75" thickBot="1" x14ac:dyDescent="0.3">
      <c r="A75" s="147" t="str">
        <f>+'Anx I pg 1 oferta'!$B$18&amp;"T3_L03_cab1(CA)"</f>
        <v>T3_L03_cab1(CA)</v>
      </c>
      <c r="B75" s="209" t="s">
        <v>390</v>
      </c>
      <c r="C75" s="210" t="s">
        <v>163</v>
      </c>
      <c r="D75" s="211"/>
      <c r="E75" s="211"/>
      <c r="F75" s="211"/>
      <c r="G75" s="211"/>
      <c r="H75" s="211"/>
      <c r="I75" s="211"/>
      <c r="J75" s="211"/>
      <c r="K75" s="212">
        <f>+G18</f>
        <v>0</v>
      </c>
      <c r="L75" s="202"/>
    </row>
    <row r="76" spans="1:16" ht="15.75" thickBot="1" x14ac:dyDescent="0.3">
      <c r="A76" s="147" t="str">
        <f>+'Anx I pg 1 oferta'!$B$18&amp;"T3_L03_inst_"&amp;B76&amp;"DA1"</f>
        <v>T3_L03_inst_L03-01DA1</v>
      </c>
      <c r="B76" s="348" t="s">
        <v>164</v>
      </c>
      <c r="C76" s="351" t="str">
        <f>+VLOOKUP(B76,'DATOS CENTROS'!B:E,2,FALSE)</f>
        <v>Avda. Radio Televisión, 4 (Pozuelo de Alarcón)</v>
      </c>
      <c r="D76" s="354" t="str">
        <f>+VLOOKUP(B76,'DATOS CENTROS'!B:E,3,FALSE)</f>
        <v xml:space="preserve"> A + C</v>
      </c>
      <c r="E76" s="357" t="str">
        <f>+VLOOKUP(B76,'DATOS CENTROS'!B:E,4,FALSE)</f>
        <v>TRANSFORMACIÓN FONDOS DIGITALES</v>
      </c>
      <c r="F76" s="360">
        <f>+VLOOKUP(B76,'DATOS CENTROS'!B:F,5,FALSE)</f>
        <v>3.7999999999999999E-2</v>
      </c>
      <c r="G76" s="342" t="str">
        <f>+IF(G29&gt;0,G29,"")</f>
        <v/>
      </c>
      <c r="H76" s="213" t="s">
        <v>25</v>
      </c>
      <c r="I76" s="214">
        <v>0.15</v>
      </c>
      <c r="J76" s="215" t="e">
        <f>+IF($K$76&gt;0,+ROUND($K$76*I76,0),"")</f>
        <v>#VALUE!</v>
      </c>
      <c r="K76" s="345" t="str">
        <f>+IFERROR(IF(OR($G$18=0,LEN($G$18)=0),"",IF(AND(M29="ok",(H29/H29)=1),N29,"")),"¿?")</f>
        <v/>
      </c>
      <c r="L76" s="202"/>
    </row>
    <row r="77" spans="1:16" ht="15.75" thickBot="1" x14ac:dyDescent="0.3">
      <c r="A77" s="147" t="str">
        <f>+'Anx I pg 1 oferta'!$B$18&amp;"T3_L03_inst_"&amp;B76&amp;"DA2"</f>
        <v>T3_L03_inst_L03-01DA2</v>
      </c>
      <c r="B77" s="349"/>
      <c r="C77" s="352"/>
      <c r="D77" s="355"/>
      <c r="E77" s="358"/>
      <c r="F77" s="361"/>
      <c r="G77" s="343"/>
      <c r="H77" s="213" t="s">
        <v>26</v>
      </c>
      <c r="I77" s="214">
        <v>0.1</v>
      </c>
      <c r="J77" s="215" t="e">
        <f t="shared" ref="J77:J79" si="0">+IF($K$76&gt;0,+ROUND($K$76*I77,0),"")</f>
        <v>#VALUE!</v>
      </c>
      <c r="K77" s="346"/>
      <c r="L77" s="202"/>
    </row>
    <row r="78" spans="1:16" ht="15.75" thickBot="1" x14ac:dyDescent="0.3">
      <c r="A78" s="147" t="str">
        <f>+'Anx I pg 1 oferta'!$B$18&amp;"T3_L03_inst_"&amp;B76&amp;"DA3"</f>
        <v>T3_L03_inst_L03-01DA3</v>
      </c>
      <c r="B78" s="349"/>
      <c r="C78" s="352"/>
      <c r="D78" s="355"/>
      <c r="E78" s="358"/>
      <c r="F78" s="361"/>
      <c r="G78" s="343"/>
      <c r="H78" s="213" t="s">
        <v>27</v>
      </c>
      <c r="I78" s="214">
        <v>0.2</v>
      </c>
      <c r="J78" s="215" t="e">
        <f t="shared" si="0"/>
        <v>#VALUE!</v>
      </c>
      <c r="K78" s="346"/>
      <c r="L78" s="202"/>
    </row>
    <row r="79" spans="1:16" ht="15.75" thickBot="1" x14ac:dyDescent="0.3">
      <c r="A79" s="147" t="str">
        <f>+'Anx I pg 1 oferta'!$B$18&amp;"T3_L03_inst_"&amp;B76&amp;"DA4"</f>
        <v>T3_L03_inst_L03-01DA4</v>
      </c>
      <c r="B79" s="349"/>
      <c r="C79" s="352"/>
      <c r="D79" s="355"/>
      <c r="E79" s="358"/>
      <c r="F79" s="361"/>
      <c r="G79" s="343"/>
      <c r="H79" s="213" t="s">
        <v>57</v>
      </c>
      <c r="I79" s="214">
        <v>0.05</v>
      </c>
      <c r="J79" s="215" t="e">
        <f t="shared" si="0"/>
        <v>#VALUE!</v>
      </c>
      <c r="K79" s="346"/>
      <c r="L79" s="202"/>
    </row>
    <row r="80" spans="1:16" ht="15.75" thickBot="1" x14ac:dyDescent="0.3">
      <c r="A80" s="147" t="str">
        <f>+'Anx I pg 1 oferta'!$B$18&amp;"T3_L03_inst_"&amp;B76&amp;"DA5"</f>
        <v>T3_L03_inst_L03-01DA5</v>
      </c>
      <c r="B80" s="350"/>
      <c r="C80" s="353"/>
      <c r="D80" s="356"/>
      <c r="E80" s="359"/>
      <c r="F80" s="362"/>
      <c r="G80" s="344"/>
      <c r="H80" s="213" t="s">
        <v>364</v>
      </c>
      <c r="I80" s="214">
        <v>0.5</v>
      </c>
      <c r="J80" s="215" t="e">
        <f>+IF($K$76&gt;0,+$K$76-SUM(J76:J79),"")</f>
        <v>#VALUE!</v>
      </c>
      <c r="K80" s="347"/>
      <c r="L80" s="202"/>
    </row>
    <row r="81" spans="1:12" ht="15.75" thickBot="1" x14ac:dyDescent="0.3">
      <c r="A81" s="147" t="str">
        <f>+'Anx I pg 1 oferta'!$B$18&amp;"T3_L03_inst_"&amp;B81&amp;"DA1"</f>
        <v>T3_L03_inst_L03-02DA1</v>
      </c>
      <c r="B81" s="348" t="s">
        <v>166</v>
      </c>
      <c r="C81" s="351" t="str">
        <f>+VLOOKUP(B81,'DATOS CENTROS'!B:E,2,FALSE)</f>
        <v>Avda. Radio Televisión, 4 (Pozuelo de Alarcón)</v>
      </c>
      <c r="D81" s="354" t="str">
        <f>+VLOOKUP(B81,'DATOS CENTROS'!B:E,3,FALSE)</f>
        <v xml:space="preserve"> A + C</v>
      </c>
      <c r="E81" s="357" t="str">
        <f>+VLOOKUP(B81,'DATOS CENTROS'!B:E,4,FALSE)</f>
        <v>DIGITALIZACIÓN</v>
      </c>
      <c r="F81" s="360">
        <f>+VLOOKUP(B81,'DATOS CENTROS'!B:F,5,FALSE)</f>
        <v>4.3999999999999997E-2</v>
      </c>
      <c r="G81" s="342" t="str">
        <f>+IF(G31&gt;0,G31,"")</f>
        <v/>
      </c>
      <c r="H81" s="213" t="s">
        <v>25</v>
      </c>
      <c r="I81" s="214">
        <v>0.15</v>
      </c>
      <c r="J81" s="215" t="e">
        <f>+IF($K$81&gt;0,+ROUND($K$81*I81,0),"")</f>
        <v>#VALUE!</v>
      </c>
      <c r="K81" s="345" t="str">
        <f>+IFERROR(IF(OR($G$18=0,LEN($G$18)=0),"",IF(AND(M31="ok",(H31/H31)=1),N31,"")),"¿?")</f>
        <v/>
      </c>
      <c r="L81" s="202"/>
    </row>
    <row r="82" spans="1:12" ht="15.75" thickBot="1" x14ac:dyDescent="0.3">
      <c r="A82" s="147" t="str">
        <f>+'Anx I pg 1 oferta'!$B$18&amp;"T3_L03_inst_"&amp;B81&amp;"DA2"</f>
        <v>T3_L03_inst_L03-02DA2</v>
      </c>
      <c r="B82" s="349"/>
      <c r="C82" s="352"/>
      <c r="D82" s="355"/>
      <c r="E82" s="358"/>
      <c r="F82" s="361"/>
      <c r="G82" s="343"/>
      <c r="H82" s="213" t="s">
        <v>26</v>
      </c>
      <c r="I82" s="214">
        <v>0.1</v>
      </c>
      <c r="J82" s="215" t="e">
        <f t="shared" ref="J82:J84" si="1">+IF($K$81&gt;0,+ROUND($K$81*I82,0),"")</f>
        <v>#VALUE!</v>
      </c>
      <c r="K82" s="346"/>
      <c r="L82" s="202"/>
    </row>
    <row r="83" spans="1:12" ht="15.75" thickBot="1" x14ac:dyDescent="0.3">
      <c r="A83" s="147" t="str">
        <f>+'Anx I pg 1 oferta'!$B$18&amp;"T3_L03_inst_"&amp;B81&amp;"DA3"</f>
        <v>T3_L03_inst_L03-02DA3</v>
      </c>
      <c r="B83" s="349"/>
      <c r="C83" s="352"/>
      <c r="D83" s="355"/>
      <c r="E83" s="358"/>
      <c r="F83" s="361"/>
      <c r="G83" s="343"/>
      <c r="H83" s="213" t="s">
        <v>27</v>
      </c>
      <c r="I83" s="214">
        <v>0.2</v>
      </c>
      <c r="J83" s="215" t="e">
        <f t="shared" si="1"/>
        <v>#VALUE!</v>
      </c>
      <c r="K83" s="346"/>
      <c r="L83" s="202"/>
    </row>
    <row r="84" spans="1:12" ht="15.75" thickBot="1" x14ac:dyDescent="0.3">
      <c r="A84" s="147" t="str">
        <f>+'Anx I pg 1 oferta'!$B$18&amp;"T3_L03_inst_"&amp;B81&amp;"DA4"</f>
        <v>T3_L03_inst_L03-02DA4</v>
      </c>
      <c r="B84" s="349"/>
      <c r="C84" s="352"/>
      <c r="D84" s="355"/>
      <c r="E84" s="358"/>
      <c r="F84" s="361"/>
      <c r="G84" s="343"/>
      <c r="H84" s="213" t="s">
        <v>57</v>
      </c>
      <c r="I84" s="214">
        <v>0.05</v>
      </c>
      <c r="J84" s="215" t="e">
        <f t="shared" si="1"/>
        <v>#VALUE!</v>
      </c>
      <c r="K84" s="346"/>
      <c r="L84" s="202"/>
    </row>
    <row r="85" spans="1:12" ht="15.75" thickBot="1" x14ac:dyDescent="0.3">
      <c r="A85" s="147" t="str">
        <f>+'Anx I pg 1 oferta'!$B$18&amp;"T3_L03_inst_"&amp;B81&amp;"DA5"</f>
        <v>T3_L03_inst_L03-02DA5</v>
      </c>
      <c r="B85" s="350"/>
      <c r="C85" s="353"/>
      <c r="D85" s="356"/>
      <c r="E85" s="359"/>
      <c r="F85" s="362"/>
      <c r="G85" s="344"/>
      <c r="H85" s="213" t="s">
        <v>364</v>
      </c>
      <c r="I85" s="214">
        <v>0.5</v>
      </c>
      <c r="J85" s="215" t="e">
        <f>+IF($K$81&gt;0,+$K$81-SUM(J81:J84),"")</f>
        <v>#VALUE!</v>
      </c>
      <c r="K85" s="347"/>
      <c r="L85" s="202"/>
    </row>
    <row r="86" spans="1:12" ht="15.75" thickBot="1" x14ac:dyDescent="0.3">
      <c r="A86" s="147" t="str">
        <f>+'Anx I pg 1 oferta'!$B$18&amp;"T3_L03_inst_"&amp;B86&amp;"DA1"</f>
        <v>T3_L03_inst_L03-03DA1</v>
      </c>
      <c r="B86" s="348" t="s">
        <v>168</v>
      </c>
      <c r="C86" s="351" t="str">
        <f>+VLOOKUP(B86,'DATOS CENTROS'!B:E,2,FALSE)</f>
        <v>Avda. Radio Televisión, 4 (Pozuelo de Alarcón)</v>
      </c>
      <c r="D86" s="354" t="str">
        <f>+VLOOKUP(B86,'DATOS CENTROS'!B:E,3,FALSE)</f>
        <v xml:space="preserve"> A + C</v>
      </c>
      <c r="E86" s="357" t="str">
        <f>+VLOOKUP(B86,'DATOS CENTROS'!B:E,4,FALSE)</f>
        <v>CASA DE LA RADIO</v>
      </c>
      <c r="F86" s="360">
        <f>+VLOOKUP(B86,'DATOS CENTROS'!B:F,5,FALSE)</f>
        <v>0.23499999999999999</v>
      </c>
      <c r="G86" s="342" t="str">
        <f>+IF(G33&gt;0,G33,"")</f>
        <v/>
      </c>
      <c r="H86" s="213" t="s">
        <v>25</v>
      </c>
      <c r="I86" s="214">
        <v>0.15</v>
      </c>
      <c r="J86" s="215" t="e">
        <f>+IF($K$86&gt;0,+ROUND($K$86*I86,0),"")</f>
        <v>#VALUE!</v>
      </c>
      <c r="K86" s="345" t="str">
        <f>+IFERROR(IF(OR($G$18=0,LEN($G$18)=0),"",IF(AND(M33="ok",(H33/H33)=1),N33,"")),"¿?")</f>
        <v/>
      </c>
      <c r="L86" s="202"/>
    </row>
    <row r="87" spans="1:12" ht="15.75" thickBot="1" x14ac:dyDescent="0.3">
      <c r="A87" s="147" t="str">
        <f>+'Anx I pg 1 oferta'!$B$18&amp;"T3_L03_inst_"&amp;B86&amp;"DA2"</f>
        <v>T3_L03_inst_L03-03DA2</v>
      </c>
      <c r="B87" s="349"/>
      <c r="C87" s="352"/>
      <c r="D87" s="355"/>
      <c r="E87" s="358"/>
      <c r="F87" s="361"/>
      <c r="G87" s="343"/>
      <c r="H87" s="213" t="s">
        <v>26</v>
      </c>
      <c r="I87" s="214">
        <v>0.1</v>
      </c>
      <c r="J87" s="215" t="e">
        <f t="shared" ref="J87:J89" si="2">+IF($K$86&gt;0,+ROUND($K$86*I87,0),"")</f>
        <v>#VALUE!</v>
      </c>
      <c r="K87" s="346"/>
      <c r="L87" s="202"/>
    </row>
    <row r="88" spans="1:12" ht="15.75" thickBot="1" x14ac:dyDescent="0.3">
      <c r="A88" s="147" t="str">
        <f>+'Anx I pg 1 oferta'!$B$18&amp;"T3_L03_inst_"&amp;B86&amp;"DA3"</f>
        <v>T3_L03_inst_L03-03DA3</v>
      </c>
      <c r="B88" s="349"/>
      <c r="C88" s="352"/>
      <c r="D88" s="355"/>
      <c r="E88" s="358"/>
      <c r="F88" s="361"/>
      <c r="G88" s="343"/>
      <c r="H88" s="213" t="s">
        <v>27</v>
      </c>
      <c r="I88" s="214">
        <v>0.2</v>
      </c>
      <c r="J88" s="215" t="e">
        <f t="shared" si="2"/>
        <v>#VALUE!</v>
      </c>
      <c r="K88" s="346"/>
      <c r="L88" s="202"/>
    </row>
    <row r="89" spans="1:12" ht="15.75" thickBot="1" x14ac:dyDescent="0.3">
      <c r="A89" s="147" t="str">
        <f>+'Anx I pg 1 oferta'!$B$18&amp;"T3_L03_inst_"&amp;B86&amp;"DA4"</f>
        <v>T3_L03_inst_L03-03DA4</v>
      </c>
      <c r="B89" s="349"/>
      <c r="C89" s="352"/>
      <c r="D89" s="355"/>
      <c r="E89" s="358"/>
      <c r="F89" s="361"/>
      <c r="G89" s="343"/>
      <c r="H89" s="213" t="s">
        <v>57</v>
      </c>
      <c r="I89" s="214">
        <v>0.05</v>
      </c>
      <c r="J89" s="215" t="e">
        <f t="shared" si="2"/>
        <v>#VALUE!</v>
      </c>
      <c r="K89" s="346"/>
      <c r="L89" s="202"/>
    </row>
    <row r="90" spans="1:12" ht="15.75" thickBot="1" x14ac:dyDescent="0.3">
      <c r="A90" s="147" t="str">
        <f>+'Anx I pg 1 oferta'!$B$18&amp;"T3_L03_inst_"&amp;B86&amp;"DA5"</f>
        <v>T3_L03_inst_L03-03DA5</v>
      </c>
      <c r="B90" s="350"/>
      <c r="C90" s="353"/>
      <c r="D90" s="356"/>
      <c r="E90" s="359"/>
      <c r="F90" s="362"/>
      <c r="G90" s="344"/>
      <c r="H90" s="213" t="s">
        <v>364</v>
      </c>
      <c r="I90" s="214">
        <v>0.5</v>
      </c>
      <c r="J90" s="215" t="e">
        <f>+IF($K$86&gt;0,+$K$86-SUM(J86:J89),"")</f>
        <v>#VALUE!</v>
      </c>
      <c r="K90" s="347"/>
      <c r="L90" s="202"/>
    </row>
    <row r="91" spans="1:12" ht="15.75" thickBot="1" x14ac:dyDescent="0.3">
      <c r="A91" s="147" t="str">
        <f>+'Anx I pg 1 oferta'!$B$18&amp;"T3_L03_inst_"&amp;B91&amp;"DA1"</f>
        <v>T3_L03_inst_L03-04DA1</v>
      </c>
      <c r="B91" s="348" t="s">
        <v>170</v>
      </c>
      <c r="C91" s="351" t="str">
        <f>+VLOOKUP(B91,'DATOS CENTROS'!B:E,2,FALSE)</f>
        <v>Avda. Radio Televisión, 4 (Pozuelo de Alarcón)</v>
      </c>
      <c r="D91" s="354" t="str">
        <f>+VLOOKUP(B91,'DATOS CENTROS'!B:E,3,FALSE)</f>
        <v xml:space="preserve"> A + C</v>
      </c>
      <c r="E91" s="357" t="str">
        <f>+VLOOKUP(B91,'DATOS CENTROS'!B:E,4,FALSE)</f>
        <v>EE.4-5-6 Y CONTROL CENTRAL</v>
      </c>
      <c r="F91" s="360">
        <f>+VLOOKUP(B91,'DATOS CENTROS'!B:F,5,FALSE)</f>
        <v>6.6000000000000003E-2</v>
      </c>
      <c r="G91" s="342" t="str">
        <f>+IF(G35&gt;0,G35,"")</f>
        <v/>
      </c>
      <c r="H91" s="213" t="s">
        <v>25</v>
      </c>
      <c r="I91" s="214">
        <v>0.15</v>
      </c>
      <c r="J91" s="215" t="e">
        <f>+IF($K$91&gt;0,+ROUND($K$91*I91,0),"")</f>
        <v>#VALUE!</v>
      </c>
      <c r="K91" s="345" t="str">
        <f>+IFERROR(IF(OR($G$18=0,LEN($G$18)=0),"",IF(AND(M35="ok",(H35/H35)=1),N35,"")),"¿?")</f>
        <v/>
      </c>
      <c r="L91" s="202"/>
    </row>
    <row r="92" spans="1:12" ht="15.75" thickBot="1" x14ac:dyDescent="0.3">
      <c r="A92" s="147" t="str">
        <f>+'Anx I pg 1 oferta'!$B$18&amp;"T3_L03_inst_"&amp;B91&amp;"DA2"</f>
        <v>T3_L03_inst_L03-04DA2</v>
      </c>
      <c r="B92" s="349"/>
      <c r="C92" s="352"/>
      <c r="D92" s="355"/>
      <c r="E92" s="358"/>
      <c r="F92" s="361"/>
      <c r="G92" s="343"/>
      <c r="H92" s="213" t="s">
        <v>26</v>
      </c>
      <c r="I92" s="214">
        <v>0.1</v>
      </c>
      <c r="J92" s="215" t="e">
        <f t="shared" ref="J92:J94" si="3">+IF($K$91&gt;0,+ROUND($K$91*I92,0),"")</f>
        <v>#VALUE!</v>
      </c>
      <c r="K92" s="346"/>
      <c r="L92" s="202"/>
    </row>
    <row r="93" spans="1:12" ht="15.75" thickBot="1" x14ac:dyDescent="0.3">
      <c r="A93" s="147" t="str">
        <f>+'Anx I pg 1 oferta'!$B$18&amp;"T3_L03_inst_"&amp;B91&amp;"DA3"</f>
        <v>T3_L03_inst_L03-04DA3</v>
      </c>
      <c r="B93" s="349"/>
      <c r="C93" s="352"/>
      <c r="D93" s="355"/>
      <c r="E93" s="358"/>
      <c r="F93" s="361"/>
      <c r="G93" s="343"/>
      <c r="H93" s="213" t="s">
        <v>27</v>
      </c>
      <c r="I93" s="214">
        <v>0.2</v>
      </c>
      <c r="J93" s="215" t="e">
        <f t="shared" si="3"/>
        <v>#VALUE!</v>
      </c>
      <c r="K93" s="346"/>
      <c r="L93" s="202"/>
    </row>
    <row r="94" spans="1:12" ht="15.75" thickBot="1" x14ac:dyDescent="0.3">
      <c r="A94" s="147" t="str">
        <f>+'Anx I pg 1 oferta'!$B$18&amp;"T3_L03_inst_"&amp;B91&amp;"DA4"</f>
        <v>T3_L03_inst_L03-04DA4</v>
      </c>
      <c r="B94" s="349"/>
      <c r="C94" s="352"/>
      <c r="D94" s="355"/>
      <c r="E94" s="358"/>
      <c r="F94" s="361"/>
      <c r="G94" s="343"/>
      <c r="H94" s="213" t="s">
        <v>57</v>
      </c>
      <c r="I94" s="214">
        <v>0.05</v>
      </c>
      <c r="J94" s="215" t="e">
        <f t="shared" si="3"/>
        <v>#VALUE!</v>
      </c>
      <c r="K94" s="346"/>
      <c r="L94" s="202"/>
    </row>
    <row r="95" spans="1:12" ht="15.75" thickBot="1" x14ac:dyDescent="0.3">
      <c r="A95" s="147" t="str">
        <f>+'Anx I pg 1 oferta'!$B$18&amp;"T3_L03_inst_"&amp;B91&amp;"DA5"</f>
        <v>T3_L03_inst_L03-04DA5</v>
      </c>
      <c r="B95" s="350"/>
      <c r="C95" s="353"/>
      <c r="D95" s="356"/>
      <c r="E95" s="359"/>
      <c r="F95" s="362"/>
      <c r="G95" s="344"/>
      <c r="H95" s="213" t="s">
        <v>364</v>
      </c>
      <c r="I95" s="214">
        <v>0.5</v>
      </c>
      <c r="J95" s="215" t="e">
        <f>+IF($K$91&gt;0,+$K$91-SUM(J91:J94),"")</f>
        <v>#VALUE!</v>
      </c>
      <c r="K95" s="347"/>
      <c r="L95" s="202"/>
    </row>
    <row r="96" spans="1:12" ht="15.75" thickBot="1" x14ac:dyDescent="0.3">
      <c r="A96" s="147" t="str">
        <f>+'Anx I pg 1 oferta'!$B$18&amp;"T3_L03_inst_"&amp;B96&amp;"DA1"</f>
        <v>T3_L03_inst_L03-05DA1</v>
      </c>
      <c r="B96" s="348" t="s">
        <v>172</v>
      </c>
      <c r="C96" s="351" t="str">
        <f>+VLOOKUP(B96,'DATOS CENTROS'!B:E,2,FALSE)</f>
        <v>Avda. Radio Televisión, 4 (Pozuelo de Alarcón)</v>
      </c>
      <c r="D96" s="354" t="str">
        <f>+VLOOKUP(B96,'DATOS CENTROS'!B:E,3,FALSE)</f>
        <v xml:space="preserve"> A + C</v>
      </c>
      <c r="E96" s="357" t="str">
        <f>+VLOOKUP(B96,'DATOS CENTROS'!B:E,4,FALSE)</f>
        <v>EDIFICIO TVE EE.1-2-3 Y CORONA</v>
      </c>
      <c r="F96" s="360">
        <f>+VLOOKUP(B96,'DATOS CENTROS'!B:F,5,FALSE)</f>
        <v>0.22</v>
      </c>
      <c r="G96" s="342" t="str">
        <f>+IF(G37&gt;0,G37,"")</f>
        <v/>
      </c>
      <c r="H96" s="213" t="s">
        <v>25</v>
      </c>
      <c r="I96" s="214">
        <v>0.15</v>
      </c>
      <c r="J96" s="215" t="e">
        <f>+IF($K$96&gt;0,+ROUND($K$96*I96,0),"")</f>
        <v>#VALUE!</v>
      </c>
      <c r="K96" s="345" t="str">
        <f>+IFERROR(IF(OR($G$18=0,LEN($G$18)=0),"",IF(AND(M37="ok",(H37/H37)=1),N37,"")),"¿?")</f>
        <v/>
      </c>
      <c r="L96" s="202"/>
    </row>
    <row r="97" spans="1:12" ht="15.75" thickBot="1" x14ac:dyDescent="0.3">
      <c r="A97" s="147" t="str">
        <f>+'Anx I pg 1 oferta'!$B$18&amp;"T3_L03_inst_"&amp;B96&amp;"DA2"</f>
        <v>T3_L03_inst_L03-05DA2</v>
      </c>
      <c r="B97" s="349"/>
      <c r="C97" s="352"/>
      <c r="D97" s="355"/>
      <c r="E97" s="358"/>
      <c r="F97" s="361"/>
      <c r="G97" s="343"/>
      <c r="H97" s="213" t="s">
        <v>26</v>
      </c>
      <c r="I97" s="214">
        <v>0.1</v>
      </c>
      <c r="J97" s="215" t="e">
        <f t="shared" ref="J97:J99" si="4">+IF($K$96&gt;0,+ROUND($K$96*I97,0),"")</f>
        <v>#VALUE!</v>
      </c>
      <c r="K97" s="346"/>
      <c r="L97" s="202"/>
    </row>
    <row r="98" spans="1:12" ht="15.75" thickBot="1" x14ac:dyDescent="0.3">
      <c r="A98" s="147" t="str">
        <f>+'Anx I pg 1 oferta'!$B$18&amp;"T3_L03_inst_"&amp;B96&amp;"DA3"</f>
        <v>T3_L03_inst_L03-05DA3</v>
      </c>
      <c r="B98" s="349"/>
      <c r="C98" s="352"/>
      <c r="D98" s="355"/>
      <c r="E98" s="358"/>
      <c r="F98" s="361"/>
      <c r="G98" s="343"/>
      <c r="H98" s="213" t="s">
        <v>27</v>
      </c>
      <c r="I98" s="214">
        <v>0.2</v>
      </c>
      <c r="J98" s="215" t="e">
        <f t="shared" si="4"/>
        <v>#VALUE!</v>
      </c>
      <c r="K98" s="346"/>
      <c r="L98" s="202"/>
    </row>
    <row r="99" spans="1:12" ht="15.75" thickBot="1" x14ac:dyDescent="0.3">
      <c r="A99" s="147" t="str">
        <f>+'Anx I pg 1 oferta'!$B$18&amp;"T3_L03_inst_"&amp;B96&amp;"DA4"</f>
        <v>T3_L03_inst_L03-05DA4</v>
      </c>
      <c r="B99" s="349"/>
      <c r="C99" s="352"/>
      <c r="D99" s="355"/>
      <c r="E99" s="358"/>
      <c r="F99" s="361"/>
      <c r="G99" s="343"/>
      <c r="H99" s="213" t="s">
        <v>57</v>
      </c>
      <c r="I99" s="214">
        <v>0.05</v>
      </c>
      <c r="J99" s="215" t="e">
        <f t="shared" si="4"/>
        <v>#VALUE!</v>
      </c>
      <c r="K99" s="346"/>
      <c r="L99" s="202"/>
    </row>
    <row r="100" spans="1:12" ht="15.75" thickBot="1" x14ac:dyDescent="0.3">
      <c r="A100" s="147" t="str">
        <f>+'Anx I pg 1 oferta'!$B$18&amp;"T3_L03_inst_"&amp;B96&amp;"DA5"</f>
        <v>T3_L03_inst_L03-05DA5</v>
      </c>
      <c r="B100" s="350"/>
      <c r="C100" s="353"/>
      <c r="D100" s="356"/>
      <c r="E100" s="359"/>
      <c r="F100" s="362"/>
      <c r="G100" s="344"/>
      <c r="H100" s="213" t="s">
        <v>364</v>
      </c>
      <c r="I100" s="214">
        <v>0.5</v>
      </c>
      <c r="J100" s="215" t="e">
        <f>+IF($K$96&gt;0,+$K$96-SUM(J96:J99),"")</f>
        <v>#VALUE!</v>
      </c>
      <c r="K100" s="347"/>
      <c r="L100" s="202"/>
    </row>
    <row r="101" spans="1:12" ht="15.75" thickBot="1" x14ac:dyDescent="0.3">
      <c r="A101" s="147" t="str">
        <f>+'Anx I pg 1 oferta'!$B$18&amp;"T3_L03_inst_"&amp;B101&amp;"DA1"</f>
        <v>T3_L03_inst_L03-06DA1</v>
      </c>
      <c r="B101" s="348" t="s">
        <v>174</v>
      </c>
      <c r="C101" s="351" t="str">
        <f>+VLOOKUP(B101,'DATOS CENTROS'!B:E,2,FALSE)</f>
        <v>Avda. Radio Televisión, 4 (Pozuelo de Alarcón)</v>
      </c>
      <c r="D101" s="354" t="str">
        <f>+VLOOKUP(B101,'DATOS CENTROS'!B:E,3,FALSE)</f>
        <v xml:space="preserve"> A + C</v>
      </c>
      <c r="E101" s="357" t="str">
        <f>+VLOOKUP(B101,'DATOS CENTROS'!B:E,4,FALSE)</f>
        <v>CONTROL ACCESOS</v>
      </c>
      <c r="F101" s="360">
        <f>+VLOOKUP(B101,'DATOS CENTROS'!B:F,5,FALSE)</f>
        <v>2.7E-2</v>
      </c>
      <c r="G101" s="342" t="str">
        <f>+IF(G39&gt;0,G39,"")</f>
        <v/>
      </c>
      <c r="H101" s="213" t="s">
        <v>25</v>
      </c>
      <c r="I101" s="214">
        <v>0.15</v>
      </c>
      <c r="J101" s="215" t="e">
        <f>+IF($K$101&gt;0,+ROUND($K$101*I101,0),"")</f>
        <v>#VALUE!</v>
      </c>
      <c r="K101" s="345" t="str">
        <f>+IFERROR(IF(OR($G$18=0,LEN($G$18)=0),"",IF(AND(M39="ok",(H39/H39)=1),N39,"")),"¿?")</f>
        <v/>
      </c>
      <c r="L101" s="202"/>
    </row>
    <row r="102" spans="1:12" ht="15.75" thickBot="1" x14ac:dyDescent="0.3">
      <c r="A102" s="147" t="str">
        <f>+'Anx I pg 1 oferta'!$B$18&amp;"T3_L03_inst_"&amp;B101&amp;"DA2"</f>
        <v>T3_L03_inst_L03-06DA2</v>
      </c>
      <c r="B102" s="349"/>
      <c r="C102" s="352"/>
      <c r="D102" s="355"/>
      <c r="E102" s="358"/>
      <c r="F102" s="361"/>
      <c r="G102" s="343"/>
      <c r="H102" s="213" t="s">
        <v>26</v>
      </c>
      <c r="I102" s="214">
        <v>0.1</v>
      </c>
      <c r="J102" s="215" t="e">
        <f t="shared" ref="J102:J104" si="5">+IF($K$101&gt;0,+ROUND($K$101*I102,0),"")</f>
        <v>#VALUE!</v>
      </c>
      <c r="K102" s="346"/>
      <c r="L102" s="202"/>
    </row>
    <row r="103" spans="1:12" ht="15.75" thickBot="1" x14ac:dyDescent="0.3">
      <c r="A103" s="147" t="str">
        <f>+'Anx I pg 1 oferta'!$B$18&amp;"T3_L03_inst_"&amp;B101&amp;"DA3"</f>
        <v>T3_L03_inst_L03-06DA3</v>
      </c>
      <c r="B103" s="349"/>
      <c r="C103" s="352"/>
      <c r="D103" s="355"/>
      <c r="E103" s="358"/>
      <c r="F103" s="361"/>
      <c r="G103" s="343"/>
      <c r="H103" s="213" t="s">
        <v>27</v>
      </c>
      <c r="I103" s="214">
        <v>0.2</v>
      </c>
      <c r="J103" s="215" t="e">
        <f t="shared" si="5"/>
        <v>#VALUE!</v>
      </c>
      <c r="K103" s="346"/>
      <c r="L103" s="202"/>
    </row>
    <row r="104" spans="1:12" ht="15.75" thickBot="1" x14ac:dyDescent="0.3">
      <c r="A104" s="147" t="str">
        <f>+'Anx I pg 1 oferta'!$B$18&amp;"T3_L03_inst_"&amp;B101&amp;"DA4"</f>
        <v>T3_L03_inst_L03-06DA4</v>
      </c>
      <c r="B104" s="349"/>
      <c r="C104" s="352"/>
      <c r="D104" s="355"/>
      <c r="E104" s="358"/>
      <c r="F104" s="361"/>
      <c r="G104" s="343"/>
      <c r="H104" s="213" t="s">
        <v>57</v>
      </c>
      <c r="I104" s="214">
        <v>0.05</v>
      </c>
      <c r="J104" s="215" t="e">
        <f t="shared" si="5"/>
        <v>#VALUE!</v>
      </c>
      <c r="K104" s="346"/>
      <c r="L104" s="202"/>
    </row>
    <row r="105" spans="1:12" ht="15.75" thickBot="1" x14ac:dyDescent="0.3">
      <c r="A105" s="147" t="str">
        <f>+'Anx I pg 1 oferta'!$B$18&amp;"T3_L03_inst_"&amp;B101&amp;"DA5"</f>
        <v>T3_L03_inst_L03-06DA5</v>
      </c>
      <c r="B105" s="350"/>
      <c r="C105" s="353"/>
      <c r="D105" s="356"/>
      <c r="E105" s="359"/>
      <c r="F105" s="362"/>
      <c r="G105" s="344"/>
      <c r="H105" s="213" t="s">
        <v>364</v>
      </c>
      <c r="I105" s="214">
        <v>0.5</v>
      </c>
      <c r="J105" s="215" t="e">
        <f>+IF($K$101&gt;0,+$K$101-SUM(J101:J104),"")</f>
        <v>#VALUE!</v>
      </c>
      <c r="K105" s="347"/>
      <c r="L105" s="202"/>
    </row>
    <row r="106" spans="1:12" ht="15.75" thickBot="1" x14ac:dyDescent="0.3">
      <c r="A106" s="147" t="str">
        <f>+'Anx I pg 1 oferta'!$B$18&amp;"T3_L03_inst_"&amp;B106&amp;"DA1"</f>
        <v>T3_L03_inst_L03-07DA1</v>
      </c>
      <c r="B106" s="348" t="s">
        <v>176</v>
      </c>
      <c r="C106" s="351" t="str">
        <f>+VLOOKUP(B106,'DATOS CENTROS'!B:E,2,FALSE)</f>
        <v>Avda. Radio Televisión, 4 (Pozuelo de Alarcón)</v>
      </c>
      <c r="D106" s="354" t="str">
        <f>+VLOOKUP(B106,'DATOS CENTROS'!B:E,3,FALSE)</f>
        <v xml:space="preserve"> A + C</v>
      </c>
      <c r="E106" s="357" t="str">
        <f>+VLOOKUP(B106,'DATOS CENTROS'!B:E,4,FALSE)</f>
        <v>SERVICIOS MEDICOS</v>
      </c>
      <c r="F106" s="360">
        <f>+VLOOKUP(B106,'DATOS CENTROS'!B:F,5,FALSE)</f>
        <v>3.4000000000000002E-2</v>
      </c>
      <c r="G106" s="342" t="str">
        <f>+IF(G41&gt;0,G41,"")</f>
        <v/>
      </c>
      <c r="H106" s="213" t="s">
        <v>25</v>
      </c>
      <c r="I106" s="214">
        <v>0.15</v>
      </c>
      <c r="J106" s="215" t="e">
        <f>+IF($K$106&gt;0,+ROUND($K$106*I106,0),"")</f>
        <v>#VALUE!</v>
      </c>
      <c r="K106" s="345" t="str">
        <f>+IFERROR(IF(OR($G$18=0,LEN($G$18)=0),"",IF(AND(M41="ok",(H41/H41)=1),N41,"")),"¿?")</f>
        <v/>
      </c>
      <c r="L106" s="202"/>
    </row>
    <row r="107" spans="1:12" ht="15.75" thickBot="1" x14ac:dyDescent="0.3">
      <c r="A107" s="147" t="str">
        <f>+'Anx I pg 1 oferta'!$B$18&amp;"T3_L03_inst_"&amp;B106&amp;"DA2"</f>
        <v>T3_L03_inst_L03-07DA2</v>
      </c>
      <c r="B107" s="349"/>
      <c r="C107" s="352"/>
      <c r="D107" s="355"/>
      <c r="E107" s="358"/>
      <c r="F107" s="361"/>
      <c r="G107" s="343"/>
      <c r="H107" s="213" t="s">
        <v>26</v>
      </c>
      <c r="I107" s="214">
        <v>0.1</v>
      </c>
      <c r="J107" s="215" t="e">
        <f t="shared" ref="J107:J109" si="6">+IF($K$106&gt;0,+ROUND($K$106*I107,0),"")</f>
        <v>#VALUE!</v>
      </c>
      <c r="K107" s="346"/>
      <c r="L107" s="202"/>
    </row>
    <row r="108" spans="1:12" ht="15.75" thickBot="1" x14ac:dyDescent="0.3">
      <c r="A108" s="147" t="str">
        <f>+'Anx I pg 1 oferta'!$B$18&amp;"T3_L03_inst_"&amp;B106&amp;"DA3"</f>
        <v>T3_L03_inst_L03-07DA3</v>
      </c>
      <c r="B108" s="349"/>
      <c r="C108" s="352"/>
      <c r="D108" s="355"/>
      <c r="E108" s="358"/>
      <c r="F108" s="361"/>
      <c r="G108" s="343"/>
      <c r="H108" s="213" t="s">
        <v>27</v>
      </c>
      <c r="I108" s="214">
        <v>0.2</v>
      </c>
      <c r="J108" s="215" t="e">
        <f t="shared" si="6"/>
        <v>#VALUE!</v>
      </c>
      <c r="K108" s="346"/>
      <c r="L108" s="202"/>
    </row>
    <row r="109" spans="1:12" ht="15.75" thickBot="1" x14ac:dyDescent="0.3">
      <c r="A109" s="147" t="str">
        <f>+'Anx I pg 1 oferta'!$B$18&amp;"T3_L03_inst_"&amp;B106&amp;"DA4"</f>
        <v>T3_L03_inst_L03-07DA4</v>
      </c>
      <c r="B109" s="349"/>
      <c r="C109" s="352"/>
      <c r="D109" s="355"/>
      <c r="E109" s="358"/>
      <c r="F109" s="361"/>
      <c r="G109" s="343"/>
      <c r="H109" s="213" t="s">
        <v>57</v>
      </c>
      <c r="I109" s="214">
        <v>0.05</v>
      </c>
      <c r="J109" s="215" t="e">
        <f t="shared" si="6"/>
        <v>#VALUE!</v>
      </c>
      <c r="K109" s="346"/>
      <c r="L109" s="202"/>
    </row>
    <row r="110" spans="1:12" ht="15.75" thickBot="1" x14ac:dyDescent="0.3">
      <c r="A110" s="147" t="str">
        <f>+'Anx I pg 1 oferta'!$B$18&amp;"T3_L03_inst_"&amp;B106&amp;"DA5"</f>
        <v>T3_L03_inst_L03-07DA5</v>
      </c>
      <c r="B110" s="350"/>
      <c r="C110" s="353"/>
      <c r="D110" s="356"/>
      <c r="E110" s="359"/>
      <c r="F110" s="362"/>
      <c r="G110" s="344"/>
      <c r="H110" s="213" t="s">
        <v>364</v>
      </c>
      <c r="I110" s="214">
        <v>0.5</v>
      </c>
      <c r="J110" s="215" t="e">
        <f>+IF($K$106&gt;0,+$K$106-SUM(J106:J109),"")</f>
        <v>#VALUE!</v>
      </c>
      <c r="K110" s="347"/>
      <c r="L110" s="202"/>
    </row>
    <row r="111" spans="1:12" ht="15.75" thickBot="1" x14ac:dyDescent="0.3">
      <c r="A111" s="147" t="str">
        <f>+'Anx I pg 1 oferta'!$B$18&amp;"T3_L03_inst_"&amp;B111&amp;"DA1"</f>
        <v>T3_L03_inst_L03-08DA1</v>
      </c>
      <c r="B111" s="348" t="s">
        <v>178</v>
      </c>
      <c r="C111" s="351" t="str">
        <f>+VLOOKUP(B111,'DATOS CENTROS'!B:E,2,FALSE)</f>
        <v>Avda. Radio Televisión, 4 (Pozuelo de Alarcón)</v>
      </c>
      <c r="D111" s="354" t="str">
        <f>+VLOOKUP(B111,'DATOS CENTROS'!B:E,3,FALSE)</f>
        <v xml:space="preserve"> A + C</v>
      </c>
      <c r="E111" s="357" t="str">
        <f>+VLOOKUP(B111,'DATOS CENTROS'!B:E,4,FALSE)</f>
        <v>AA.SS.-COMEDORES</v>
      </c>
      <c r="F111" s="360">
        <f>+VLOOKUP(B111,'DATOS CENTROS'!B:F,5,FALSE)</f>
        <v>0.112</v>
      </c>
      <c r="G111" s="342" t="str">
        <f>+IF(G43&gt;0,G43,"")</f>
        <v/>
      </c>
      <c r="H111" s="213" t="s">
        <v>25</v>
      </c>
      <c r="I111" s="214">
        <v>0.15</v>
      </c>
      <c r="J111" s="215" t="e">
        <f>+IF($K$111&gt;0,+ROUND($K$111*I111,0),"")</f>
        <v>#VALUE!</v>
      </c>
      <c r="K111" s="345" t="str">
        <f>+IFERROR(IF(OR($G$18=0,LEN($G$18)=0),"",IF(AND(M43="ok",(H43/H43)=1),N43,"")),"¿?")</f>
        <v/>
      </c>
      <c r="L111" s="202"/>
    </row>
    <row r="112" spans="1:12" ht="15.75" thickBot="1" x14ac:dyDescent="0.3">
      <c r="A112" s="147" t="str">
        <f>+'Anx I pg 1 oferta'!$B$18&amp;"T3_L03_inst_"&amp;B111&amp;"DA2"</f>
        <v>T3_L03_inst_L03-08DA2</v>
      </c>
      <c r="B112" s="349"/>
      <c r="C112" s="352"/>
      <c r="D112" s="355"/>
      <c r="E112" s="358"/>
      <c r="F112" s="361"/>
      <c r="G112" s="343"/>
      <c r="H112" s="213" t="s">
        <v>26</v>
      </c>
      <c r="I112" s="214">
        <v>0.1</v>
      </c>
      <c r="J112" s="215" t="e">
        <f t="shared" ref="J112:J114" si="7">+IF($K$111&gt;0,+ROUND($K$111*I112,0),"")</f>
        <v>#VALUE!</v>
      </c>
      <c r="K112" s="346"/>
      <c r="L112" s="202"/>
    </row>
    <row r="113" spans="1:12" ht="15.75" thickBot="1" x14ac:dyDescent="0.3">
      <c r="A113" s="147" t="str">
        <f>+'Anx I pg 1 oferta'!$B$18&amp;"T3_L03_inst_"&amp;B111&amp;"DA3"</f>
        <v>T3_L03_inst_L03-08DA3</v>
      </c>
      <c r="B113" s="349"/>
      <c r="C113" s="352"/>
      <c r="D113" s="355"/>
      <c r="E113" s="358"/>
      <c r="F113" s="361"/>
      <c r="G113" s="343"/>
      <c r="H113" s="213" t="s">
        <v>27</v>
      </c>
      <c r="I113" s="214">
        <v>0.2</v>
      </c>
      <c r="J113" s="215" t="e">
        <f t="shared" si="7"/>
        <v>#VALUE!</v>
      </c>
      <c r="K113" s="346"/>
      <c r="L113" s="202"/>
    </row>
    <row r="114" spans="1:12" ht="15.75" thickBot="1" x14ac:dyDescent="0.3">
      <c r="A114" s="147" t="str">
        <f>+'Anx I pg 1 oferta'!$B$18&amp;"T3_L03_inst_"&amp;B111&amp;"DA4"</f>
        <v>T3_L03_inst_L03-08DA4</v>
      </c>
      <c r="B114" s="349"/>
      <c r="C114" s="352"/>
      <c r="D114" s="355"/>
      <c r="E114" s="358"/>
      <c r="F114" s="361"/>
      <c r="G114" s="343"/>
      <c r="H114" s="213" t="s">
        <v>57</v>
      </c>
      <c r="I114" s="214">
        <v>0.05</v>
      </c>
      <c r="J114" s="215" t="e">
        <f t="shared" si="7"/>
        <v>#VALUE!</v>
      </c>
      <c r="K114" s="346"/>
      <c r="L114" s="202"/>
    </row>
    <row r="115" spans="1:12" ht="15.75" thickBot="1" x14ac:dyDescent="0.3">
      <c r="A115" s="147" t="str">
        <f>+'Anx I pg 1 oferta'!$B$18&amp;"T3_L03_inst_"&amp;B111&amp;"DA5"</f>
        <v>T3_L03_inst_L03-08DA5</v>
      </c>
      <c r="B115" s="350"/>
      <c r="C115" s="353"/>
      <c r="D115" s="356"/>
      <c r="E115" s="359"/>
      <c r="F115" s="362"/>
      <c r="G115" s="344"/>
      <c r="H115" s="213" t="s">
        <v>364</v>
      </c>
      <c r="I115" s="214">
        <v>0.5</v>
      </c>
      <c r="J115" s="215" t="e">
        <f>+IF($K$111&gt;0,+$K$111-SUM(J111:J114),"")</f>
        <v>#VALUE!</v>
      </c>
      <c r="K115" s="347"/>
      <c r="L115" s="202"/>
    </row>
    <row r="116" spans="1:12" ht="15.75" thickBot="1" x14ac:dyDescent="0.3">
      <c r="A116" s="147" t="str">
        <f>+'Anx I pg 1 oferta'!$B$18&amp;"T3_L03_inst_"&amp;B116&amp;"DA1"</f>
        <v>T3_L03_inst_L03-09DA1</v>
      </c>
      <c r="B116" s="348" t="s">
        <v>180</v>
      </c>
      <c r="C116" s="351" t="str">
        <f>+VLOOKUP(B116,'DATOS CENTROS'!B:E,2,FALSE)</f>
        <v>Avda. Radio Televisión, 4 (Pozuelo de Alarcón)</v>
      </c>
      <c r="D116" s="354" t="str">
        <f>+VLOOKUP(B116,'DATOS CENTROS'!B:E,3,FALSE)</f>
        <v xml:space="preserve"> A + C</v>
      </c>
      <c r="E116" s="357" t="str">
        <f>+VLOOKUP(B116,'DATOS CENTROS'!B:E,4,FALSE)</f>
        <v>EDIFICIO PRADO DEL REY (EPR)</v>
      </c>
      <c r="F116" s="360">
        <f>+VLOOKUP(B116,'DATOS CENTROS'!B:F,5,FALSE)</f>
        <v>0.224</v>
      </c>
      <c r="G116" s="342" t="str">
        <f>+IF(G45&gt;0,G45,"")</f>
        <v/>
      </c>
      <c r="H116" s="213" t="s">
        <v>25</v>
      </c>
      <c r="I116" s="214">
        <v>0.15</v>
      </c>
      <c r="J116" s="215" t="e">
        <f>+IF($K$116&gt;0,+ROUND($K$116*I116,0),"")</f>
        <v>#VALUE!</v>
      </c>
      <c r="K116" s="345" t="str">
        <f>+IFERROR(IF(OR($G$18=0,LEN($G$18)=0),"",IF(AND(M45="ok",(H45/H45)=1),N45,"")),"¿?")</f>
        <v/>
      </c>
      <c r="L116" s="202"/>
    </row>
    <row r="117" spans="1:12" ht="15.75" thickBot="1" x14ac:dyDescent="0.3">
      <c r="A117" s="147" t="str">
        <f>+'Anx I pg 1 oferta'!$B$18&amp;"T3_L03_inst_"&amp;B116&amp;"DA2"</f>
        <v>T3_L03_inst_L03-09DA2</v>
      </c>
      <c r="B117" s="349"/>
      <c r="C117" s="352"/>
      <c r="D117" s="355"/>
      <c r="E117" s="358"/>
      <c r="F117" s="361"/>
      <c r="G117" s="343"/>
      <c r="H117" s="213" t="s">
        <v>26</v>
      </c>
      <c r="I117" s="214">
        <v>0.1</v>
      </c>
      <c r="J117" s="215" t="e">
        <f t="shared" ref="J117:J119" si="8">+IF($K$116&gt;0,+ROUND($K$116*I117,0),"")</f>
        <v>#VALUE!</v>
      </c>
      <c r="K117" s="346"/>
      <c r="L117" s="202"/>
    </row>
    <row r="118" spans="1:12" ht="15.75" thickBot="1" x14ac:dyDescent="0.3">
      <c r="A118" s="147" t="str">
        <f>+'Anx I pg 1 oferta'!$B$18&amp;"T3_L03_inst_"&amp;B116&amp;"DA3"</f>
        <v>T3_L03_inst_L03-09DA3</v>
      </c>
      <c r="B118" s="349"/>
      <c r="C118" s="352"/>
      <c r="D118" s="355"/>
      <c r="E118" s="358"/>
      <c r="F118" s="361"/>
      <c r="G118" s="343"/>
      <c r="H118" s="213" t="s">
        <v>27</v>
      </c>
      <c r="I118" s="214">
        <v>0.2</v>
      </c>
      <c r="J118" s="215" t="e">
        <f t="shared" si="8"/>
        <v>#VALUE!</v>
      </c>
      <c r="K118" s="346"/>
      <c r="L118" s="202"/>
    </row>
    <row r="119" spans="1:12" ht="15.75" thickBot="1" x14ac:dyDescent="0.3">
      <c r="A119" s="147" t="str">
        <f>+'Anx I pg 1 oferta'!$B$18&amp;"T3_L03_inst_"&amp;B116&amp;"DA4"</f>
        <v>T3_L03_inst_L03-09DA4</v>
      </c>
      <c r="B119" s="349"/>
      <c r="C119" s="352"/>
      <c r="D119" s="355"/>
      <c r="E119" s="358"/>
      <c r="F119" s="361"/>
      <c r="G119" s="343"/>
      <c r="H119" s="213" t="s">
        <v>57</v>
      </c>
      <c r="I119" s="214">
        <v>0.05</v>
      </c>
      <c r="J119" s="215" t="e">
        <f t="shared" si="8"/>
        <v>#VALUE!</v>
      </c>
      <c r="K119" s="346"/>
      <c r="L119" s="202"/>
    </row>
    <row r="120" spans="1:12" ht="15.75" customHeight="1" thickBot="1" x14ac:dyDescent="0.3">
      <c r="A120" s="147" t="str">
        <f>+'Anx I pg 1 oferta'!$B$18&amp;"T3_L03_inst_"&amp;B116&amp;"DA5"</f>
        <v>T3_L03_inst_L03-09DA5</v>
      </c>
      <c r="B120" s="350"/>
      <c r="C120" s="353"/>
      <c r="D120" s="356"/>
      <c r="E120" s="359"/>
      <c r="F120" s="362"/>
      <c r="G120" s="344"/>
      <c r="H120" s="213" t="s">
        <v>364</v>
      </c>
      <c r="I120" s="214">
        <v>0.5</v>
      </c>
      <c r="J120" s="215" t="e">
        <f>+IF($K$116&gt;0,+$K$116-SUM(J116:J119),"")</f>
        <v>#VALUE!</v>
      </c>
      <c r="K120" s="347"/>
      <c r="L120" s="202"/>
    </row>
    <row r="121" spans="1:12" ht="15.75" hidden="1" customHeight="1" thickBot="1" x14ac:dyDescent="0.3">
      <c r="A121" s="147" t="s">
        <v>544</v>
      </c>
      <c r="B121" s="348"/>
      <c r="C121" s="351"/>
      <c r="D121" s="354"/>
      <c r="E121" s="357"/>
      <c r="F121" s="360"/>
      <c r="G121" s="342"/>
      <c r="H121" s="213"/>
      <c r="I121" s="214"/>
      <c r="J121" s="215"/>
      <c r="K121" s="345"/>
      <c r="L121" s="202"/>
    </row>
    <row r="122" spans="1:12" ht="15.75" hidden="1" thickBot="1" x14ac:dyDescent="0.3">
      <c r="A122" s="147" t="s">
        <v>544</v>
      </c>
      <c r="B122" s="349"/>
      <c r="C122" s="352"/>
      <c r="D122" s="355"/>
      <c r="E122" s="358"/>
      <c r="F122" s="361"/>
      <c r="G122" s="343"/>
      <c r="H122" s="213"/>
      <c r="I122" s="214"/>
      <c r="J122" s="215"/>
      <c r="K122" s="346"/>
      <c r="L122" s="202"/>
    </row>
    <row r="123" spans="1:12" ht="15.75" hidden="1" thickBot="1" x14ac:dyDescent="0.3">
      <c r="A123" s="147" t="s">
        <v>544</v>
      </c>
      <c r="B123" s="349"/>
      <c r="C123" s="352"/>
      <c r="D123" s="355"/>
      <c r="E123" s="358"/>
      <c r="F123" s="361"/>
      <c r="G123" s="343"/>
      <c r="H123" s="213"/>
      <c r="I123" s="214"/>
      <c r="J123" s="215"/>
      <c r="K123" s="346"/>
      <c r="L123" s="202"/>
    </row>
    <row r="124" spans="1:12" ht="15.75" hidden="1" thickBot="1" x14ac:dyDescent="0.3">
      <c r="A124" s="147" t="s">
        <v>544</v>
      </c>
      <c r="B124" s="349"/>
      <c r="C124" s="352"/>
      <c r="D124" s="355"/>
      <c r="E124" s="358"/>
      <c r="F124" s="361"/>
      <c r="G124" s="343"/>
      <c r="H124" s="213"/>
      <c r="I124" s="214"/>
      <c r="J124" s="215"/>
      <c r="K124" s="346"/>
      <c r="L124" s="202"/>
    </row>
    <row r="125" spans="1:12" ht="15.75" hidden="1" thickBot="1" x14ac:dyDescent="0.3">
      <c r="A125" s="147" t="s">
        <v>544</v>
      </c>
      <c r="B125" s="350"/>
      <c r="C125" s="353"/>
      <c r="D125" s="356"/>
      <c r="E125" s="359"/>
      <c r="F125" s="362"/>
      <c r="G125" s="344"/>
      <c r="H125" s="213"/>
      <c r="I125" s="214"/>
      <c r="J125" s="215"/>
      <c r="K125" s="347"/>
      <c r="L125" s="202"/>
    </row>
    <row r="126" spans="1:12" ht="15.75" hidden="1" thickBot="1" x14ac:dyDescent="0.3">
      <c r="A126" s="147" t="s">
        <v>544</v>
      </c>
      <c r="B126" s="348"/>
      <c r="C126" s="351"/>
      <c r="D126" s="354"/>
      <c r="E126" s="357"/>
      <c r="F126" s="360"/>
      <c r="G126" s="342"/>
      <c r="H126" s="213"/>
      <c r="I126" s="214"/>
      <c r="J126" s="215"/>
      <c r="K126" s="345"/>
      <c r="L126" s="202"/>
    </row>
    <row r="127" spans="1:12" ht="15.75" hidden="1" thickBot="1" x14ac:dyDescent="0.3">
      <c r="A127" s="147" t="s">
        <v>544</v>
      </c>
      <c r="B127" s="349"/>
      <c r="C127" s="352"/>
      <c r="D127" s="355"/>
      <c r="E127" s="358"/>
      <c r="F127" s="361"/>
      <c r="G127" s="343"/>
      <c r="H127" s="213"/>
      <c r="I127" s="214"/>
      <c r="J127" s="215"/>
      <c r="K127" s="346"/>
      <c r="L127" s="202"/>
    </row>
    <row r="128" spans="1:12" ht="15.75" hidden="1" thickBot="1" x14ac:dyDescent="0.3">
      <c r="A128" s="147" t="s">
        <v>544</v>
      </c>
      <c r="B128" s="349"/>
      <c r="C128" s="352"/>
      <c r="D128" s="355"/>
      <c r="E128" s="358"/>
      <c r="F128" s="361"/>
      <c r="G128" s="343"/>
      <c r="H128" s="213"/>
      <c r="I128" s="214"/>
      <c r="J128" s="215"/>
      <c r="K128" s="346"/>
      <c r="L128" s="202"/>
    </row>
    <row r="129" spans="1:12" ht="15.75" hidden="1" thickBot="1" x14ac:dyDescent="0.3">
      <c r="A129" s="147" t="s">
        <v>544</v>
      </c>
      <c r="B129" s="349"/>
      <c r="C129" s="352"/>
      <c r="D129" s="355"/>
      <c r="E129" s="358"/>
      <c r="F129" s="361"/>
      <c r="G129" s="343"/>
      <c r="H129" s="213"/>
      <c r="I129" s="214"/>
      <c r="J129" s="215"/>
      <c r="K129" s="346"/>
      <c r="L129" s="202"/>
    </row>
    <row r="130" spans="1:12" ht="15.75" hidden="1" thickBot="1" x14ac:dyDescent="0.3">
      <c r="A130" s="147" t="s">
        <v>544</v>
      </c>
      <c r="B130" s="350"/>
      <c r="C130" s="353"/>
      <c r="D130" s="356"/>
      <c r="E130" s="359"/>
      <c r="F130" s="362"/>
      <c r="G130" s="344"/>
      <c r="H130" s="213"/>
      <c r="I130" s="214"/>
      <c r="J130" s="215"/>
      <c r="K130" s="347"/>
      <c r="L130" s="202"/>
    </row>
    <row r="131" spans="1:12" ht="15.75" hidden="1" customHeight="1" thickBot="1" x14ac:dyDescent="0.3">
      <c r="A131" s="147" t="s">
        <v>544</v>
      </c>
      <c r="B131" s="348"/>
      <c r="C131" s="351"/>
      <c r="D131" s="354"/>
      <c r="E131" s="357"/>
      <c r="F131" s="360"/>
      <c r="G131" s="342"/>
      <c r="H131" s="213"/>
      <c r="I131" s="214"/>
      <c r="J131" s="215"/>
      <c r="K131" s="345"/>
      <c r="L131" s="202"/>
    </row>
    <row r="132" spans="1:12" ht="15.75" hidden="1" thickBot="1" x14ac:dyDescent="0.3">
      <c r="A132" s="147" t="s">
        <v>544</v>
      </c>
      <c r="B132" s="349"/>
      <c r="C132" s="352"/>
      <c r="D132" s="355"/>
      <c r="E132" s="358"/>
      <c r="F132" s="361"/>
      <c r="G132" s="343"/>
      <c r="H132" s="213"/>
      <c r="I132" s="214"/>
      <c r="J132" s="215"/>
      <c r="K132" s="346"/>
      <c r="L132" s="202"/>
    </row>
    <row r="133" spans="1:12" ht="15.75" hidden="1" thickBot="1" x14ac:dyDescent="0.3">
      <c r="A133" s="147" t="s">
        <v>544</v>
      </c>
      <c r="B133" s="349"/>
      <c r="C133" s="352"/>
      <c r="D133" s="355"/>
      <c r="E133" s="358"/>
      <c r="F133" s="361"/>
      <c r="G133" s="343"/>
      <c r="H133" s="213"/>
      <c r="I133" s="214"/>
      <c r="J133" s="215"/>
      <c r="K133" s="346"/>
      <c r="L133" s="202"/>
    </row>
    <row r="134" spans="1:12" ht="15.75" hidden="1" thickBot="1" x14ac:dyDescent="0.3">
      <c r="A134" s="147" t="s">
        <v>544</v>
      </c>
      <c r="B134" s="349"/>
      <c r="C134" s="352"/>
      <c r="D134" s="355"/>
      <c r="E134" s="358"/>
      <c r="F134" s="361"/>
      <c r="G134" s="343"/>
      <c r="H134" s="213"/>
      <c r="I134" s="214"/>
      <c r="J134" s="215"/>
      <c r="K134" s="346"/>
      <c r="L134" s="202"/>
    </row>
    <row r="135" spans="1:12" ht="15.75" hidden="1" thickBot="1" x14ac:dyDescent="0.3">
      <c r="A135" s="147" t="s">
        <v>544</v>
      </c>
      <c r="B135" s="350"/>
      <c r="C135" s="353"/>
      <c r="D135" s="356"/>
      <c r="E135" s="359"/>
      <c r="F135" s="362"/>
      <c r="G135" s="344"/>
      <c r="H135" s="213"/>
      <c r="I135" s="214"/>
      <c r="J135" s="215"/>
      <c r="K135" s="347"/>
      <c r="L135" s="202"/>
    </row>
    <row r="136" spans="1:12" ht="15.75" hidden="1" thickBot="1" x14ac:dyDescent="0.3">
      <c r="A136" s="147" t="s">
        <v>544</v>
      </c>
      <c r="B136" s="348"/>
      <c r="C136" s="351"/>
      <c r="D136" s="354"/>
      <c r="E136" s="357"/>
      <c r="F136" s="360"/>
      <c r="G136" s="342"/>
      <c r="H136" s="213"/>
      <c r="I136" s="214"/>
      <c r="J136" s="215"/>
      <c r="K136" s="345"/>
      <c r="L136" s="202"/>
    </row>
    <row r="137" spans="1:12" ht="15.75" hidden="1" thickBot="1" x14ac:dyDescent="0.3">
      <c r="A137" s="147" t="s">
        <v>544</v>
      </c>
      <c r="B137" s="349"/>
      <c r="C137" s="352"/>
      <c r="D137" s="355"/>
      <c r="E137" s="358"/>
      <c r="F137" s="361"/>
      <c r="G137" s="343"/>
      <c r="H137" s="213"/>
      <c r="I137" s="214"/>
      <c r="J137" s="215"/>
      <c r="K137" s="346"/>
      <c r="L137" s="202"/>
    </row>
    <row r="138" spans="1:12" ht="15.75" hidden="1" thickBot="1" x14ac:dyDescent="0.3">
      <c r="A138" s="147" t="s">
        <v>544</v>
      </c>
      <c r="B138" s="349"/>
      <c r="C138" s="352"/>
      <c r="D138" s="355"/>
      <c r="E138" s="358"/>
      <c r="F138" s="361"/>
      <c r="G138" s="343"/>
      <c r="H138" s="213"/>
      <c r="I138" s="214"/>
      <c r="J138" s="215"/>
      <c r="K138" s="346"/>
      <c r="L138" s="202"/>
    </row>
    <row r="139" spans="1:12" ht="15.75" hidden="1" thickBot="1" x14ac:dyDescent="0.3">
      <c r="A139" s="147" t="s">
        <v>544</v>
      </c>
      <c r="B139" s="349"/>
      <c r="C139" s="352"/>
      <c r="D139" s="355"/>
      <c r="E139" s="358"/>
      <c r="F139" s="361"/>
      <c r="G139" s="343"/>
      <c r="H139" s="213"/>
      <c r="I139" s="214"/>
      <c r="J139" s="215"/>
      <c r="K139" s="346"/>
      <c r="L139" s="202"/>
    </row>
    <row r="140" spans="1:12" ht="15.75" hidden="1" thickBot="1" x14ac:dyDescent="0.3">
      <c r="A140" s="147" t="s">
        <v>544</v>
      </c>
      <c r="B140" s="350"/>
      <c r="C140" s="353"/>
      <c r="D140" s="356"/>
      <c r="E140" s="359"/>
      <c r="F140" s="362"/>
      <c r="G140" s="344"/>
      <c r="H140" s="213"/>
      <c r="I140" s="214"/>
      <c r="J140" s="215"/>
      <c r="K140" s="347"/>
      <c r="L140" s="202"/>
    </row>
    <row r="141" spans="1:12" ht="15.75" hidden="1" thickBot="1" x14ac:dyDescent="0.3">
      <c r="A141" s="147" t="s">
        <v>544</v>
      </c>
      <c r="B141" s="348"/>
      <c r="C141" s="351"/>
      <c r="D141" s="354"/>
      <c r="E141" s="357"/>
      <c r="F141" s="360"/>
      <c r="G141" s="342"/>
      <c r="H141" s="213"/>
      <c r="I141" s="214"/>
      <c r="J141" s="215"/>
      <c r="K141" s="345"/>
      <c r="L141" s="202"/>
    </row>
    <row r="142" spans="1:12" ht="15.75" hidden="1" thickBot="1" x14ac:dyDescent="0.3">
      <c r="A142" s="147" t="s">
        <v>544</v>
      </c>
      <c r="B142" s="349"/>
      <c r="C142" s="352"/>
      <c r="D142" s="355"/>
      <c r="E142" s="358"/>
      <c r="F142" s="361"/>
      <c r="G142" s="343"/>
      <c r="H142" s="213"/>
      <c r="I142" s="214"/>
      <c r="J142" s="215"/>
      <c r="K142" s="346"/>
      <c r="L142" s="202"/>
    </row>
    <row r="143" spans="1:12" ht="15.75" hidden="1" thickBot="1" x14ac:dyDescent="0.3">
      <c r="A143" s="147" t="s">
        <v>544</v>
      </c>
      <c r="B143" s="349"/>
      <c r="C143" s="352"/>
      <c r="D143" s="355"/>
      <c r="E143" s="358"/>
      <c r="F143" s="361"/>
      <c r="G143" s="343"/>
      <c r="H143" s="213"/>
      <c r="I143" s="214"/>
      <c r="J143" s="215"/>
      <c r="K143" s="346"/>
      <c r="L143" s="202"/>
    </row>
    <row r="144" spans="1:12" ht="15.75" hidden="1" thickBot="1" x14ac:dyDescent="0.3">
      <c r="A144" s="147" t="s">
        <v>544</v>
      </c>
      <c r="B144" s="349"/>
      <c r="C144" s="352"/>
      <c r="D144" s="355"/>
      <c r="E144" s="358"/>
      <c r="F144" s="361"/>
      <c r="G144" s="343"/>
      <c r="H144" s="213"/>
      <c r="I144" s="214"/>
      <c r="J144" s="215"/>
      <c r="K144" s="346"/>
      <c r="L144" s="202"/>
    </row>
    <row r="145" spans="1:12" ht="15.75" hidden="1" thickBot="1" x14ac:dyDescent="0.3">
      <c r="A145" s="147" t="s">
        <v>544</v>
      </c>
      <c r="B145" s="350"/>
      <c r="C145" s="353"/>
      <c r="D145" s="356"/>
      <c r="E145" s="359"/>
      <c r="F145" s="362"/>
      <c r="G145" s="344"/>
      <c r="H145" s="213"/>
      <c r="I145" s="214"/>
      <c r="J145" s="215"/>
      <c r="K145" s="347"/>
      <c r="L145" s="202"/>
    </row>
    <row r="146" spans="1:12" ht="15.75" hidden="1" thickBot="1" x14ac:dyDescent="0.3">
      <c r="A146" s="147" t="s">
        <v>544</v>
      </c>
      <c r="B146" s="348"/>
      <c r="C146" s="351"/>
      <c r="D146" s="354"/>
      <c r="E146" s="357"/>
      <c r="F146" s="360"/>
      <c r="G146" s="342"/>
      <c r="H146" s="213"/>
      <c r="I146" s="214"/>
      <c r="J146" s="215"/>
      <c r="K146" s="345"/>
      <c r="L146" s="202"/>
    </row>
    <row r="147" spans="1:12" ht="15.75" hidden="1" thickBot="1" x14ac:dyDescent="0.3">
      <c r="A147" s="147" t="s">
        <v>544</v>
      </c>
      <c r="B147" s="349"/>
      <c r="C147" s="352"/>
      <c r="D147" s="355"/>
      <c r="E147" s="358"/>
      <c r="F147" s="361"/>
      <c r="G147" s="343"/>
      <c r="H147" s="213"/>
      <c r="I147" s="214"/>
      <c r="J147" s="215"/>
      <c r="K147" s="346"/>
      <c r="L147" s="202"/>
    </row>
    <row r="148" spans="1:12" ht="15.75" hidden="1" thickBot="1" x14ac:dyDescent="0.3">
      <c r="A148" s="147" t="s">
        <v>544</v>
      </c>
      <c r="B148" s="349"/>
      <c r="C148" s="352"/>
      <c r="D148" s="355"/>
      <c r="E148" s="358"/>
      <c r="F148" s="361"/>
      <c r="G148" s="343"/>
      <c r="H148" s="213"/>
      <c r="I148" s="214"/>
      <c r="J148" s="215"/>
      <c r="K148" s="346"/>
      <c r="L148" s="202"/>
    </row>
    <row r="149" spans="1:12" ht="15.75" hidden="1" thickBot="1" x14ac:dyDescent="0.3">
      <c r="A149" s="147" t="s">
        <v>544</v>
      </c>
      <c r="B149" s="349"/>
      <c r="C149" s="352"/>
      <c r="D149" s="355"/>
      <c r="E149" s="358"/>
      <c r="F149" s="361"/>
      <c r="G149" s="343"/>
      <c r="H149" s="213"/>
      <c r="I149" s="214"/>
      <c r="J149" s="215"/>
      <c r="K149" s="346"/>
      <c r="L149" s="202"/>
    </row>
    <row r="150" spans="1:12" ht="15.75" hidden="1" thickBot="1" x14ac:dyDescent="0.3">
      <c r="A150" s="147" t="s">
        <v>544</v>
      </c>
      <c r="B150" s="350"/>
      <c r="C150" s="353"/>
      <c r="D150" s="356"/>
      <c r="E150" s="359"/>
      <c r="F150" s="362"/>
      <c r="G150" s="344"/>
      <c r="H150" s="213"/>
      <c r="I150" s="214"/>
      <c r="J150" s="215"/>
      <c r="K150" s="347"/>
      <c r="L150" s="202"/>
    </row>
    <row r="151" spans="1:12" ht="15.75" hidden="1" thickBot="1" x14ac:dyDescent="0.3">
      <c r="A151" s="147" t="s">
        <v>544</v>
      </c>
      <c r="B151" s="348"/>
      <c r="C151" s="351"/>
      <c r="D151" s="354"/>
      <c r="E151" s="357"/>
      <c r="F151" s="360"/>
      <c r="G151" s="342"/>
      <c r="H151" s="213"/>
      <c r="I151" s="214"/>
      <c r="J151" s="215"/>
      <c r="K151" s="345"/>
      <c r="L151" s="202"/>
    </row>
    <row r="152" spans="1:12" ht="15.75" hidden="1" thickBot="1" x14ac:dyDescent="0.3">
      <c r="A152" s="147" t="s">
        <v>544</v>
      </c>
      <c r="B152" s="349"/>
      <c r="C152" s="352"/>
      <c r="D152" s="355"/>
      <c r="E152" s="358"/>
      <c r="F152" s="361"/>
      <c r="G152" s="343"/>
      <c r="H152" s="213"/>
      <c r="I152" s="214"/>
      <c r="J152" s="215"/>
      <c r="K152" s="346"/>
      <c r="L152" s="202"/>
    </row>
    <row r="153" spans="1:12" ht="15.75" hidden="1" thickBot="1" x14ac:dyDescent="0.3">
      <c r="A153" s="147" t="s">
        <v>544</v>
      </c>
      <c r="B153" s="349"/>
      <c r="C153" s="352"/>
      <c r="D153" s="355"/>
      <c r="E153" s="358"/>
      <c r="F153" s="361"/>
      <c r="G153" s="343"/>
      <c r="H153" s="213"/>
      <c r="I153" s="214"/>
      <c r="J153" s="215"/>
      <c r="K153" s="346"/>
      <c r="L153" s="202"/>
    </row>
    <row r="154" spans="1:12" ht="15.75" hidden="1" thickBot="1" x14ac:dyDescent="0.3">
      <c r="A154" s="147" t="s">
        <v>544</v>
      </c>
      <c r="B154" s="349"/>
      <c r="C154" s="352"/>
      <c r="D154" s="355"/>
      <c r="E154" s="358"/>
      <c r="F154" s="361"/>
      <c r="G154" s="343"/>
      <c r="H154" s="213"/>
      <c r="I154" s="214"/>
      <c r="J154" s="215"/>
      <c r="K154" s="346"/>
      <c r="L154" s="202"/>
    </row>
    <row r="155" spans="1:12" ht="15.75" hidden="1" thickBot="1" x14ac:dyDescent="0.3">
      <c r="A155" s="147" t="s">
        <v>544</v>
      </c>
      <c r="B155" s="350"/>
      <c r="C155" s="353"/>
      <c r="D155" s="356"/>
      <c r="E155" s="359"/>
      <c r="F155" s="362"/>
      <c r="G155" s="344"/>
      <c r="H155" s="213"/>
      <c r="I155" s="214"/>
      <c r="J155" s="215"/>
      <c r="K155" s="347"/>
      <c r="L155" s="202"/>
    </row>
    <row r="156" spans="1:12" ht="15.75" hidden="1" customHeight="1" thickBot="1" x14ac:dyDescent="0.3">
      <c r="A156" s="147" t="s">
        <v>544</v>
      </c>
      <c r="B156" s="348"/>
      <c r="C156" s="351"/>
      <c r="D156" s="354"/>
      <c r="E156" s="357"/>
      <c r="F156" s="360"/>
      <c r="G156" s="342"/>
      <c r="H156" s="213"/>
      <c r="I156" s="214"/>
      <c r="J156" s="215"/>
      <c r="K156" s="345"/>
      <c r="L156" s="202"/>
    </row>
    <row r="157" spans="1:12" ht="15.75" hidden="1" thickBot="1" x14ac:dyDescent="0.3">
      <c r="A157" s="147" t="s">
        <v>544</v>
      </c>
      <c r="B157" s="349"/>
      <c r="C157" s="352"/>
      <c r="D157" s="355"/>
      <c r="E157" s="358"/>
      <c r="F157" s="361"/>
      <c r="G157" s="343"/>
      <c r="H157" s="213"/>
      <c r="I157" s="214"/>
      <c r="J157" s="215"/>
      <c r="K157" s="346"/>
      <c r="L157" s="202"/>
    </row>
    <row r="158" spans="1:12" ht="15.75" hidden="1" thickBot="1" x14ac:dyDescent="0.3">
      <c r="A158" s="147" t="s">
        <v>544</v>
      </c>
      <c r="B158" s="349"/>
      <c r="C158" s="352"/>
      <c r="D158" s="355"/>
      <c r="E158" s="358"/>
      <c r="F158" s="361"/>
      <c r="G158" s="343"/>
      <c r="H158" s="213"/>
      <c r="I158" s="214"/>
      <c r="J158" s="215"/>
      <c r="K158" s="346"/>
      <c r="L158" s="202"/>
    </row>
    <row r="159" spans="1:12" ht="15.75" hidden="1" thickBot="1" x14ac:dyDescent="0.3">
      <c r="A159" s="147" t="s">
        <v>544</v>
      </c>
      <c r="B159" s="349"/>
      <c r="C159" s="352"/>
      <c r="D159" s="355"/>
      <c r="E159" s="358"/>
      <c r="F159" s="361"/>
      <c r="G159" s="343"/>
      <c r="H159" s="213"/>
      <c r="I159" s="214"/>
      <c r="J159" s="215"/>
      <c r="K159" s="346"/>
      <c r="L159" s="202"/>
    </row>
    <row r="160" spans="1:12" ht="15.75" hidden="1" thickBot="1" x14ac:dyDescent="0.3">
      <c r="A160" s="147" t="s">
        <v>544</v>
      </c>
      <c r="B160" s="350"/>
      <c r="C160" s="353"/>
      <c r="D160" s="356"/>
      <c r="E160" s="359"/>
      <c r="F160" s="362"/>
      <c r="G160" s="344"/>
      <c r="H160" s="213"/>
      <c r="I160" s="214"/>
      <c r="J160" s="215"/>
      <c r="K160" s="347"/>
      <c r="L160" s="202"/>
    </row>
    <row r="161" spans="1:12" ht="15.75" hidden="1" thickBot="1" x14ac:dyDescent="0.3">
      <c r="A161" s="147" t="s">
        <v>544</v>
      </c>
      <c r="B161" s="348"/>
      <c r="C161" s="351"/>
      <c r="D161" s="354"/>
      <c r="E161" s="357"/>
      <c r="F161" s="360"/>
      <c r="G161" s="342"/>
      <c r="H161" s="213"/>
      <c r="I161" s="214"/>
      <c r="J161" s="215"/>
      <c r="K161" s="345"/>
      <c r="L161" s="202"/>
    </row>
    <row r="162" spans="1:12" ht="15.75" hidden="1" thickBot="1" x14ac:dyDescent="0.3">
      <c r="A162" s="147" t="s">
        <v>544</v>
      </c>
      <c r="B162" s="349"/>
      <c r="C162" s="352"/>
      <c r="D162" s="355"/>
      <c r="E162" s="358"/>
      <c r="F162" s="361"/>
      <c r="G162" s="343"/>
      <c r="H162" s="213"/>
      <c r="I162" s="214"/>
      <c r="J162" s="215"/>
      <c r="K162" s="346"/>
      <c r="L162" s="202"/>
    </row>
    <row r="163" spans="1:12" ht="15.75" hidden="1" thickBot="1" x14ac:dyDescent="0.3">
      <c r="A163" s="147" t="s">
        <v>544</v>
      </c>
      <c r="B163" s="349"/>
      <c r="C163" s="352"/>
      <c r="D163" s="355"/>
      <c r="E163" s="358"/>
      <c r="F163" s="361"/>
      <c r="G163" s="343"/>
      <c r="H163" s="213"/>
      <c r="I163" s="214"/>
      <c r="J163" s="215"/>
      <c r="K163" s="346"/>
      <c r="L163" s="202"/>
    </row>
    <row r="164" spans="1:12" ht="15.75" hidden="1" thickBot="1" x14ac:dyDescent="0.3">
      <c r="A164" s="147" t="s">
        <v>544</v>
      </c>
      <c r="B164" s="349"/>
      <c r="C164" s="352"/>
      <c r="D164" s="355"/>
      <c r="E164" s="358"/>
      <c r="F164" s="361"/>
      <c r="G164" s="343"/>
      <c r="H164" s="213"/>
      <c r="I164" s="214"/>
      <c r="J164" s="215"/>
      <c r="K164" s="346"/>
      <c r="L164" s="202"/>
    </row>
    <row r="165" spans="1:12" ht="15.75" hidden="1" thickBot="1" x14ac:dyDescent="0.3">
      <c r="A165" s="147" t="s">
        <v>544</v>
      </c>
      <c r="B165" s="350"/>
      <c r="C165" s="353"/>
      <c r="D165" s="356"/>
      <c r="E165" s="359"/>
      <c r="F165" s="362"/>
      <c r="G165" s="344"/>
      <c r="H165" s="213"/>
      <c r="I165" s="214"/>
      <c r="J165" s="215"/>
      <c r="K165" s="347"/>
      <c r="L165" s="202"/>
    </row>
    <row r="166" spans="1:12" x14ac:dyDescent="0.25">
      <c r="A166" s="147" t="str">
        <f>+'Anx I pg 1 oferta'!$B$18&amp;"T3_L03_TOT"</f>
        <v>T3_L03_TOT</v>
      </c>
      <c r="B166" s="278" t="s">
        <v>390</v>
      </c>
      <c r="C166" s="122"/>
      <c r="D166" s="122"/>
      <c r="E166" s="122"/>
      <c r="F166" s="285">
        <f>SUM(F76:F165)</f>
        <v>1</v>
      </c>
      <c r="G166" s="285">
        <f>SUM(G76:G165)</f>
        <v>0</v>
      </c>
      <c r="H166" s="122"/>
      <c r="I166" s="122"/>
      <c r="J166" s="287" t="e">
        <f>SUM(J76:J165)</f>
        <v>#VALUE!</v>
      </c>
      <c r="K166" s="287">
        <f>SUM(K76:K165)</f>
        <v>0</v>
      </c>
    </row>
    <row r="167" spans="1:12" x14ac:dyDescent="0.25">
      <c r="A167" s="122" t="s">
        <v>544</v>
      </c>
      <c r="B167" s="122" t="s">
        <v>390</v>
      </c>
      <c r="C167" s="122"/>
      <c r="D167" s="122"/>
      <c r="E167" s="122"/>
      <c r="F167" s="122"/>
      <c r="G167" s="122"/>
      <c r="H167" s="122"/>
      <c r="I167" s="122"/>
      <c r="J167" s="122"/>
      <c r="K167" s="122"/>
    </row>
    <row r="168" spans="1:12" x14ac:dyDescent="0.25">
      <c r="A168" s="122" t="s">
        <v>544</v>
      </c>
      <c r="B168" s="122" t="s">
        <v>390</v>
      </c>
      <c r="C168" s="122"/>
      <c r="D168" s="122"/>
      <c r="E168" s="122"/>
      <c r="F168" s="122"/>
      <c r="G168" s="122"/>
      <c r="H168" s="122"/>
      <c r="I168" s="122"/>
      <c r="J168" s="122"/>
      <c r="K168" s="122"/>
    </row>
    <row r="169" spans="1:12" x14ac:dyDescent="0.25">
      <c r="A169" s="122" t="s">
        <v>542</v>
      </c>
      <c r="B169" s="122" t="s">
        <v>390</v>
      </c>
      <c r="C169" s="122"/>
      <c r="D169" s="122"/>
      <c r="E169" s="122"/>
      <c r="F169" s="122"/>
      <c r="G169" s="122"/>
      <c r="H169" s="122"/>
      <c r="I169" s="122" t="s">
        <v>372</v>
      </c>
      <c r="J169" s="284" t="e">
        <f>+J76+J81+J86+J91+J96+J101+J106+J111+J116+J121+J126+J131+J136+J141+J146+J151+J156+J161</f>
        <v>#VALUE!</v>
      </c>
      <c r="K169" s="122"/>
    </row>
    <row r="170" spans="1:12" x14ac:dyDescent="0.25">
      <c r="A170" s="122" t="s">
        <v>542</v>
      </c>
      <c r="B170" s="122" t="s">
        <v>390</v>
      </c>
      <c r="C170" s="122"/>
      <c r="D170" s="122"/>
      <c r="E170" s="122"/>
      <c r="F170" s="122"/>
      <c r="G170" s="122"/>
      <c r="H170" s="122"/>
      <c r="I170" s="122" t="s">
        <v>374</v>
      </c>
      <c r="J170" s="284" t="e">
        <f t="shared" ref="J170:J173" si="9">+J77+J82+J87+J92+J97+J102+J107+J112+J117+J122+J127+J132+J137+J142+J147+J152+J157+J162</f>
        <v>#VALUE!</v>
      </c>
      <c r="K170" s="122"/>
    </row>
    <row r="171" spans="1:12" x14ac:dyDescent="0.25">
      <c r="A171" s="122" t="s">
        <v>542</v>
      </c>
      <c r="B171" s="122" t="s">
        <v>390</v>
      </c>
      <c r="C171" s="122"/>
      <c r="D171" s="122"/>
      <c r="E171" s="122"/>
      <c r="F171" s="122"/>
      <c r="G171" s="122"/>
      <c r="H171" s="122"/>
      <c r="I171" s="122" t="s">
        <v>373</v>
      </c>
      <c r="J171" s="284" t="e">
        <f t="shared" si="9"/>
        <v>#VALUE!</v>
      </c>
      <c r="K171" s="122"/>
    </row>
    <row r="172" spans="1:12" x14ac:dyDescent="0.25">
      <c r="A172" s="122" t="s">
        <v>542</v>
      </c>
      <c r="B172" s="122" t="s">
        <v>390</v>
      </c>
      <c r="C172" s="122"/>
      <c r="D172" s="122"/>
      <c r="E172" s="122"/>
      <c r="F172" s="122"/>
      <c r="G172" s="122"/>
      <c r="H172" s="122"/>
      <c r="I172" s="122" t="s">
        <v>375</v>
      </c>
      <c r="J172" s="284" t="e">
        <f t="shared" si="9"/>
        <v>#VALUE!</v>
      </c>
      <c r="K172" s="122"/>
    </row>
    <row r="173" spans="1:12" x14ac:dyDescent="0.25">
      <c r="A173" s="122" t="s">
        <v>542</v>
      </c>
      <c r="B173" s="122" t="s">
        <v>390</v>
      </c>
      <c r="C173" s="122"/>
      <c r="D173" s="122"/>
      <c r="E173" s="122"/>
      <c r="F173" s="122"/>
      <c r="G173" s="122"/>
      <c r="H173" s="122"/>
      <c r="I173" s="122" t="s">
        <v>376</v>
      </c>
      <c r="J173" s="284" t="e">
        <f t="shared" si="9"/>
        <v>#VALUE!</v>
      </c>
      <c r="K173" s="122"/>
    </row>
    <row r="174" spans="1:12" x14ac:dyDescent="0.25">
      <c r="A174" s="122" t="s">
        <v>542</v>
      </c>
      <c r="B174" s="122" t="s">
        <v>390</v>
      </c>
      <c r="C174" s="122"/>
      <c r="D174" s="122"/>
      <c r="E174" s="122"/>
      <c r="F174" s="122"/>
      <c r="G174" s="122"/>
      <c r="H174" s="122"/>
      <c r="I174" s="122" t="s">
        <v>371</v>
      </c>
      <c r="J174" s="284" t="e">
        <f>SUBTOTAL(9,J169:J173)</f>
        <v>#VALUE!</v>
      </c>
      <c r="K174" s="122"/>
    </row>
    <row r="175" spans="1:12" x14ac:dyDescent="0.25">
      <c r="A175" s="122" t="s">
        <v>544</v>
      </c>
    </row>
    <row r="176" spans="1:12" x14ac:dyDescent="0.25">
      <c r="A176" s="122" t="s">
        <v>544</v>
      </c>
    </row>
    <row r="177" spans="1:1" x14ac:dyDescent="0.25">
      <c r="A177" s="122" t="s">
        <v>544</v>
      </c>
    </row>
    <row r="178" spans="1:1" x14ac:dyDescent="0.25">
      <c r="A178" s="122" t="s">
        <v>544</v>
      </c>
    </row>
    <row r="179" spans="1:1" x14ac:dyDescent="0.25">
      <c r="A179" s="122" t="s">
        <v>544</v>
      </c>
    </row>
    <row r="180" spans="1:1" x14ac:dyDescent="0.25">
      <c r="A180" s="122" t="s">
        <v>544</v>
      </c>
    </row>
    <row r="181" spans="1:1" x14ac:dyDescent="0.25">
      <c r="A181" s="122" t="s">
        <v>544</v>
      </c>
    </row>
    <row r="182" spans="1:1" x14ac:dyDescent="0.25">
      <c r="A182" s="122" t="s">
        <v>544</v>
      </c>
    </row>
    <row r="183" spans="1:1" x14ac:dyDescent="0.25">
      <c r="A183" s="122" t="s">
        <v>544</v>
      </c>
    </row>
    <row r="184" spans="1:1" x14ac:dyDescent="0.25">
      <c r="A184" s="122" t="s">
        <v>544</v>
      </c>
    </row>
    <row r="185" spans="1:1" x14ac:dyDescent="0.25">
      <c r="A185" s="122" t="s">
        <v>544</v>
      </c>
    </row>
    <row r="186" spans="1:1" x14ac:dyDescent="0.25">
      <c r="A186" s="122" t="s">
        <v>544</v>
      </c>
    </row>
    <row r="187" spans="1:1" x14ac:dyDescent="0.25">
      <c r="A187" s="122" t="s">
        <v>544</v>
      </c>
    </row>
    <row r="188" spans="1:1" x14ac:dyDescent="0.25">
      <c r="A188" s="122" t="s">
        <v>544</v>
      </c>
    </row>
    <row r="189" spans="1:1" x14ac:dyDescent="0.25">
      <c r="A189" s="122" t="s">
        <v>544</v>
      </c>
    </row>
    <row r="190" spans="1:1" x14ac:dyDescent="0.25">
      <c r="A190" s="122" t="s">
        <v>544</v>
      </c>
    </row>
    <row r="191" spans="1:1" x14ac:dyDescent="0.25">
      <c r="A191" s="122" t="s">
        <v>544</v>
      </c>
    </row>
    <row r="192" spans="1:1" x14ac:dyDescent="0.25">
      <c r="A192" s="122" t="s">
        <v>544</v>
      </c>
    </row>
    <row r="193" spans="1:11" x14ac:dyDescent="0.25">
      <c r="A193" s="122" t="s">
        <v>544</v>
      </c>
    </row>
    <row r="194" spans="1:11" x14ac:dyDescent="0.25">
      <c r="A194" s="122" t="s">
        <v>544</v>
      </c>
    </row>
    <row r="195" spans="1:11" x14ac:dyDescent="0.25">
      <c r="A195" s="122" t="s">
        <v>542</v>
      </c>
      <c r="G195" s="82">
        <f>SUM(G78:G101)</f>
        <v>0</v>
      </c>
      <c r="I195" s="48" t="s">
        <v>371</v>
      </c>
      <c r="J195" s="50" t="e">
        <f>SUM(J76:J101)</f>
        <v>#VALUE!</v>
      </c>
      <c r="K195" s="50">
        <f>SUM(K76:K101)</f>
        <v>0</v>
      </c>
    </row>
    <row r="196" spans="1:11" x14ac:dyDescent="0.25">
      <c r="A196" s="122" t="s">
        <v>542</v>
      </c>
      <c r="I196" s="48"/>
      <c r="J196" s="48"/>
      <c r="K196" s="48"/>
    </row>
    <row r="197" spans="1:11" x14ac:dyDescent="0.25">
      <c r="A197" s="122" t="s">
        <v>542</v>
      </c>
      <c r="I197" s="48" t="s">
        <v>372</v>
      </c>
      <c r="J197" s="50" t="e">
        <f>+J76+J81+J86+J91+J96</f>
        <v>#VALUE!</v>
      </c>
      <c r="K197" s="48"/>
    </row>
    <row r="198" spans="1:11" x14ac:dyDescent="0.25">
      <c r="A198" s="122" t="s">
        <v>542</v>
      </c>
      <c r="I198" s="48" t="s">
        <v>374</v>
      </c>
      <c r="J198" s="50" t="e">
        <f t="shared" ref="J198:J201" si="10">+J77+J82+J87+J92+J97</f>
        <v>#VALUE!</v>
      </c>
      <c r="K198" s="48"/>
    </row>
    <row r="199" spans="1:11" x14ac:dyDescent="0.25">
      <c r="A199" s="122" t="s">
        <v>542</v>
      </c>
      <c r="I199" s="48" t="s">
        <v>373</v>
      </c>
      <c r="J199" s="50" t="e">
        <f t="shared" si="10"/>
        <v>#VALUE!</v>
      </c>
      <c r="K199" s="48"/>
    </row>
    <row r="200" spans="1:11" x14ac:dyDescent="0.25">
      <c r="A200" s="122" t="s">
        <v>542</v>
      </c>
      <c r="I200" s="48" t="s">
        <v>375</v>
      </c>
      <c r="J200" s="50" t="e">
        <f t="shared" si="10"/>
        <v>#VALUE!</v>
      </c>
      <c r="K200" s="48"/>
    </row>
    <row r="201" spans="1:11" x14ac:dyDescent="0.25">
      <c r="A201" s="122" t="s">
        <v>542</v>
      </c>
      <c r="I201" s="48" t="s">
        <v>376</v>
      </c>
      <c r="J201" s="50" t="e">
        <f t="shared" si="10"/>
        <v>#VALUE!</v>
      </c>
      <c r="K201" s="48"/>
    </row>
    <row r="202" spans="1:11" x14ac:dyDescent="0.25">
      <c r="A202" s="122"/>
    </row>
  </sheetData>
  <sheetProtection algorithmName="SHA-512" hashValue="LbORYYt4TrQ58WFVLNyLMAW1p7eZ0GUN5wY+L3Fu12mTgv7zCiTsw9NcVQGIFccRsf5whKBJ9CrAR85FEHbbow==" saltValue="tmTaObxXZoLb0+AWWda+mQ==" spinCount="100000" sheet="1" objects="1" scenarios="1" selectLockedCells="1"/>
  <mergeCells count="135">
    <mergeCell ref="B151:B155"/>
    <mergeCell ref="C151:C155"/>
    <mergeCell ref="D151:D155"/>
    <mergeCell ref="E151:E155"/>
    <mergeCell ref="F151:F155"/>
    <mergeCell ref="G151:G155"/>
    <mergeCell ref="K151:K155"/>
    <mergeCell ref="G156:G160"/>
    <mergeCell ref="K156:K160"/>
    <mergeCell ref="B161:B165"/>
    <mergeCell ref="C161:C165"/>
    <mergeCell ref="D161:D165"/>
    <mergeCell ref="E161:E165"/>
    <mergeCell ref="F161:F165"/>
    <mergeCell ref="G161:G165"/>
    <mergeCell ref="K161:K165"/>
    <mergeCell ref="B156:B160"/>
    <mergeCell ref="C156:C160"/>
    <mergeCell ref="D156:D160"/>
    <mergeCell ref="E156:E160"/>
    <mergeCell ref="F156:F160"/>
    <mergeCell ref="B146:B150"/>
    <mergeCell ref="C146:C150"/>
    <mergeCell ref="D146:D150"/>
    <mergeCell ref="E146:E150"/>
    <mergeCell ref="F146:F150"/>
    <mergeCell ref="G136:G140"/>
    <mergeCell ref="K136:K140"/>
    <mergeCell ref="B141:B145"/>
    <mergeCell ref="C141:C145"/>
    <mergeCell ref="D141:D145"/>
    <mergeCell ref="E141:E145"/>
    <mergeCell ref="F141:F145"/>
    <mergeCell ref="G141:G145"/>
    <mergeCell ref="K141:K145"/>
    <mergeCell ref="B136:B140"/>
    <mergeCell ref="C136:C140"/>
    <mergeCell ref="D136:D140"/>
    <mergeCell ref="E136:E140"/>
    <mergeCell ref="F136:F140"/>
    <mergeCell ref="G146:G150"/>
    <mergeCell ref="K146:K150"/>
    <mergeCell ref="G126:G130"/>
    <mergeCell ref="K126:K130"/>
    <mergeCell ref="B131:B135"/>
    <mergeCell ref="C131:C135"/>
    <mergeCell ref="D131:D135"/>
    <mergeCell ref="E131:E135"/>
    <mergeCell ref="F131:F135"/>
    <mergeCell ref="G131:G135"/>
    <mergeCell ref="K131:K135"/>
    <mergeCell ref="B126:B130"/>
    <mergeCell ref="C126:C130"/>
    <mergeCell ref="D126:D130"/>
    <mergeCell ref="E126:E130"/>
    <mergeCell ref="F126:F130"/>
    <mergeCell ref="G116:G120"/>
    <mergeCell ref="K116:K120"/>
    <mergeCell ref="B121:B125"/>
    <mergeCell ref="C121:C125"/>
    <mergeCell ref="D121:D125"/>
    <mergeCell ref="E121:E125"/>
    <mergeCell ref="F121:F125"/>
    <mergeCell ref="G121:G125"/>
    <mergeCell ref="K121:K125"/>
    <mergeCell ref="B116:B120"/>
    <mergeCell ref="C116:C120"/>
    <mergeCell ref="D116:D120"/>
    <mergeCell ref="E116:E120"/>
    <mergeCell ref="F116:F120"/>
    <mergeCell ref="G106:G110"/>
    <mergeCell ref="K106:K110"/>
    <mergeCell ref="B111:B115"/>
    <mergeCell ref="C111:C115"/>
    <mergeCell ref="D111:D115"/>
    <mergeCell ref="E111:E115"/>
    <mergeCell ref="F111:F115"/>
    <mergeCell ref="G111:G115"/>
    <mergeCell ref="K111:K115"/>
    <mergeCell ref="B106:B110"/>
    <mergeCell ref="C106:C110"/>
    <mergeCell ref="D106:D110"/>
    <mergeCell ref="E106:E110"/>
    <mergeCell ref="F106:F110"/>
    <mergeCell ref="G96:G100"/>
    <mergeCell ref="K96:K100"/>
    <mergeCell ref="B101:B105"/>
    <mergeCell ref="C101:C105"/>
    <mergeCell ref="D101:D105"/>
    <mergeCell ref="E101:E105"/>
    <mergeCell ref="F101:F105"/>
    <mergeCell ref="G101:G105"/>
    <mergeCell ref="K101:K105"/>
    <mergeCell ref="B96:B100"/>
    <mergeCell ref="C96:C100"/>
    <mergeCell ref="D96:D100"/>
    <mergeCell ref="E96:E100"/>
    <mergeCell ref="F96:F100"/>
    <mergeCell ref="G86:G90"/>
    <mergeCell ref="K86:K90"/>
    <mergeCell ref="B91:B95"/>
    <mergeCell ref="C91:C95"/>
    <mergeCell ref="D91:D95"/>
    <mergeCell ref="E91:E95"/>
    <mergeCell ref="F91:F95"/>
    <mergeCell ref="G91:G95"/>
    <mergeCell ref="K91:K95"/>
    <mergeCell ref="B86:B90"/>
    <mergeCell ref="C86:C90"/>
    <mergeCell ref="D86:D90"/>
    <mergeCell ref="E86:E90"/>
    <mergeCell ref="F86:F90"/>
    <mergeCell ref="B81:B85"/>
    <mergeCell ref="C81:C85"/>
    <mergeCell ref="D81:D85"/>
    <mergeCell ref="E81:E85"/>
    <mergeCell ref="F81:F85"/>
    <mergeCell ref="G81:G85"/>
    <mergeCell ref="K81:K85"/>
    <mergeCell ref="B76:B80"/>
    <mergeCell ref="C76:C80"/>
    <mergeCell ref="D76:D80"/>
    <mergeCell ref="E76:E80"/>
    <mergeCell ref="F76:F80"/>
    <mergeCell ref="B2:K2"/>
    <mergeCell ref="B8:G8"/>
    <mergeCell ref="C12:F12"/>
    <mergeCell ref="C13:F13"/>
    <mergeCell ref="C14:F14"/>
    <mergeCell ref="C15:F15"/>
    <mergeCell ref="C16:F16"/>
    <mergeCell ref="C17:F17"/>
    <mergeCell ref="G76:G80"/>
    <mergeCell ref="K76:K80"/>
    <mergeCell ref="D20:G20"/>
  </mergeCells>
  <conditionalFormatting sqref="G18">
    <cfRule type="expression" dxfId="128" priority="16">
      <formula>$H$37&lt;0</formula>
    </cfRule>
  </conditionalFormatting>
  <conditionalFormatting sqref="H29 H31 H35">
    <cfRule type="expression" dxfId="127" priority="17">
      <formula>$H$37&lt;0</formula>
    </cfRule>
    <cfRule type="expression" dxfId="126" priority="18">
      <formula>$H$37&gt;0</formula>
    </cfRule>
  </conditionalFormatting>
  <conditionalFormatting sqref="J64 N64 J29:N63">
    <cfRule type="expression" dxfId="125" priority="15">
      <formula>"""ok"""</formula>
    </cfRule>
  </conditionalFormatting>
  <conditionalFormatting sqref="H41 H43 H45">
    <cfRule type="expression" dxfId="124" priority="13">
      <formula>$H$37&lt;0</formula>
    </cfRule>
    <cfRule type="expression" dxfId="123" priority="14">
      <formula>$H$37&gt;0</formula>
    </cfRule>
  </conditionalFormatting>
  <conditionalFormatting sqref="H49 H51 H53 H55">
    <cfRule type="expression" dxfId="122" priority="11">
      <formula>$H$37&lt;0</formula>
    </cfRule>
    <cfRule type="expression" dxfId="121" priority="12">
      <formula>$H$37&gt;0</formula>
    </cfRule>
  </conditionalFormatting>
  <conditionalFormatting sqref="H59 H61 H63">
    <cfRule type="expression" dxfId="120" priority="9">
      <formula>$H$37&lt;0</formula>
    </cfRule>
    <cfRule type="expression" dxfId="119" priority="10">
      <formula>$H$37&gt;0</formula>
    </cfRule>
  </conditionalFormatting>
  <conditionalFormatting sqref="H47">
    <cfRule type="expression" dxfId="118" priority="7">
      <formula>$H$37&lt;0</formula>
    </cfRule>
    <cfRule type="expression" dxfId="117" priority="8">
      <formula>$H$37&gt;0</formula>
    </cfRule>
  </conditionalFormatting>
  <conditionalFormatting sqref="H57">
    <cfRule type="expression" dxfId="116" priority="5">
      <formula>$H$37&lt;0</formula>
    </cfRule>
    <cfRule type="expression" dxfId="115" priority="6">
      <formula>$H$37&gt;0</formula>
    </cfRule>
  </conditionalFormatting>
  <conditionalFormatting sqref="H37">
    <cfRule type="expression" dxfId="114" priority="3">
      <formula>$H$37&lt;0</formula>
    </cfRule>
    <cfRule type="expression" dxfId="113" priority="4">
      <formula>$H$37&gt;0</formula>
    </cfRule>
  </conditionalFormatting>
  <conditionalFormatting sqref="H39">
    <cfRule type="expression" dxfId="112" priority="1">
      <formula>$H$37&lt;0</formula>
    </cfRule>
    <cfRule type="expression" dxfId="111" priority="2">
      <formula>$H$37&gt;0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  <ignoredErrors>
    <ignoredError sqref="C30:C45" formula="1"/>
    <ignoredError sqref="J76:J174" evalError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0E61-A2F5-4480-9D60-8C2F3125121F}">
  <sheetPr codeName="Hoja8">
    <pageSetUpPr fitToPage="1"/>
  </sheetPr>
  <dimension ref="A1:W174"/>
  <sheetViews>
    <sheetView showGridLines="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496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4 : Comunidad de Madrid, sede Torrespaña, Dehesa de la Villa (IRTVE), inmuebles sin uso.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oferta'!$B$18&amp;"T1_L04_cab"</f>
        <v>T1_L04_cab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oferta'!$B$18&amp;"T1_L04_DAB1"</f>
        <v>T1_L04_DAB1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decimales",IF(VLOOKUP(4,'RESUMEN LOTES'!B7:E15,4,FALSE)&lt;G18,"Importe ofertado supera max. € "&amp;VLOOKUP(4,'RESUMEN LOTES'!B7:E15,4,FALSE),IF(COUNTIFS($M$29:$M$64,"ok")&lt;&gt;8,"Debe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+IF(OR($G$18=0,LEN($G$18)=0),"¿?",IF(COUNTIFS($M$29:$M$64,"ok")&lt;&gt;8,"¿?",+IF(C13="Debe revisar Desglose 2 IMPORTE ofertado POR SEDE","¿?",+SUMIFS($J$76:$J$165,$H$76:$H$165,C13))))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oferta'!$B$18&amp;"T1_L04_DAB2"</f>
        <v>T1_L04_DAB2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decimales",IF(VLOOKUP(4,'RESUMEN LOTES'!B7:E15,4,FALSE)&lt;G18,"Importe ofertado supera max. € "&amp;VLOOKUP(4,'RESUMEN LOTES'!B7:E15,4,FALSE),IF(COUNTIFS($M$29:$M$64,"ok")&lt;&gt;8,"Debe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+IF(OR($G$18=0,LEN($G$18)=0),"¿?",IF(COUNTIFS($M$29:$M$64,"ok")&lt;&gt;8,"¿?",+IF(C14="Debe revisar Desglose 2 IMPORTE ofertado POR SEDE","¿?",+SUMIFS($J$76:$J$165,$H$76:$H$165,C14))))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oferta'!$B$18&amp;"T1_L04_DAB3"</f>
        <v>T1_L04_DAB3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decimales",IF(VLOOKUP(4,'RESUMEN LOTES'!B7:E15,4,FALSE)&lt;G18,"Importe ofertado supera max. € "&amp;VLOOKUP(4,'RESUMEN LOTES'!B7:E15,4,FALSE),IF(COUNTIFS($M$29:$M$64,"ok")&lt;&gt;8,"Debe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+IF(OR($G$18=0,LEN($G$18)=0),"¿?",IF(COUNTIFS($M$29:$M$64,"ok")&lt;&gt;8,"¿?",+IF(C15="Debe revisar Desglose 2 IMPORTE ofertado POR SEDE","¿?",+SUMIFS($J$76:$J$165,$H$76:$H$165,C15))))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oferta'!$B$18&amp;"T1_L04_DAB4"</f>
        <v>T1_L04_DAB4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decimales",IF(VLOOKUP(4,'RESUMEN LOTES'!B7:E15,4,FALSE)&lt;G18,"Importe ofertado supera max. € "&amp;VLOOKUP(4,'RESUMEN LOTES'!B7:E15,4,FALSE),IF(COUNTIFS($M$29:$M$64,"ok")&lt;&gt;8,"Debe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+IF(OR($G$18=0,LEN($G$18)=0),"¿?",IF(COUNTIFS($M$29:$M$64,"ok")&lt;&gt;8,"¿?",+IF(C16="Debe revisar Desglose 2 IMPORTE ofertado POR SEDE","¿?",+SUMIFS($J$76:$J$165,$H$76:$H$165,C16))))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oferta'!$B$18&amp;"T1_L04_DAB5"</f>
        <v>T1_L04_DAB5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decimales",IF(VLOOKUP(4,'RESUMEN LOTES'!B7:E15,4,FALSE)&lt;G18,"Importe ofertado supera max. € "&amp;VLOOKUP(4,'RESUMEN LOTES'!B7:E15,4,FALSE),IF(COUNTIFS($M$29:$M$64,"ok")&lt;&gt;8,"Debe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+IF(OR($G$18=0,LEN($G$18)=0),"¿?",IF(COUNTIFS($M$29:$M$64,"ok")&lt;&gt;8,"¿?",+IF(C17="Debe revisar Desglose 2 IMPORTE ofertado POR SEDE","¿?",+SUMIFS($J$76:$J$165,$H$76:$H$165,"Registro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oferta'!$B$18&amp;"T1_L04_TOT"</f>
        <v>T1_L04_TOT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oferta'!$B$18&amp;"T2_L04_cab0a"</f>
        <v>T2_L04_cab0a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oferta'!$B$18&amp;"T2_L04_cab0b"</f>
        <v>T2_L04_cab0b</v>
      </c>
      <c r="B27" s="163" t="s">
        <v>182</v>
      </c>
      <c r="C27" s="164" t="s">
        <v>362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oferta'!$B$18&amp;"T2_L04_cab1(CA)"</f>
        <v>T2_L04_cab1(CA)</v>
      </c>
      <c r="B28" s="170" t="s">
        <v>390</v>
      </c>
      <c r="C28" s="171" t="s">
        <v>163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21.95" customHeight="1" thickBot="1" x14ac:dyDescent="0.3">
      <c r="A29" s="147" t="str">
        <f>+'Anx I pg 1 oferta'!$B$18&amp;"T2_L04_inst_"&amp;B29</f>
        <v>T2_L04_inst_L04-01</v>
      </c>
      <c r="B29" s="176" t="s">
        <v>183</v>
      </c>
      <c r="C29" s="177" t="str">
        <f>+VLOOKUP(B29,'DATOS CENTROS'!B:F,4,FALSE)</f>
        <v>TORRESPAÑA EDIFICIO A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0.35499999999999998</v>
      </c>
      <c r="G29" s="195" t="str">
        <f>+IF(OR($G$18=0,LEN($G$18)=0),"",1-SUM(G31:G64))</f>
        <v/>
      </c>
      <c r="H29" s="197" t="str">
        <f>+IF(OR($G$18=0,+LEN($G$18)=0),"",+$G$18-SUM(H31:H64))</f>
        <v/>
      </c>
      <c r="J29" s="183"/>
      <c r="K29" s="183"/>
      <c r="L29" s="183"/>
      <c r="M29" s="277" t="str">
        <f>+IFERROR(IF(COUNTA($H$29:$H$64)&lt;8,8-COUNTA($H$29:$H$64)&amp;" Items ptes.ofertar ",IF(AND($G$18&gt;0,$H$29&gt;0,(N29)/(N29)=1),"ok","mal")),"¿max.min.ofertado?")</f>
        <v xml:space="preserve">7 Items ptes.ofertar </v>
      </c>
      <c r="N29" s="183" t="str">
        <f>+IF(OR($G$18=0,LEN($G$18)=0),"",IF(OR($G$18&lt;0,+$G$18/$G$18&lt;&gt;1),"Total oferta Lote incorrecto (no numérico o negativo)",IF(AND($G$18&gt;0,$H$29&gt;0,H29&lt;=0),"¿importe ofertado?",IF(AND($G$18&gt;0,$H$29&lt;0),"acum.of.oferta sede &gt;oferta lote",IF(AND($G$18&gt;0,$H$29&lt;&gt;0,H29&lt;VLOOKUP(B29,'% admitidos'!A:M,13,FALSE)),+"MIN."&amp;VLOOKUP(B29,'% admitidos'!A:M,13,FALSE),IF(AND($G$18&gt;0,$H$29&gt;0,H29&gt;VLOOKUP(B29,'% admitidos'!A:M,11,FALSE)),+"MAX."&amp;VLOOKUP(B29,'% admitidos'!A:M,11,FALSE),+H29))))))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2" customHeight="1" thickBot="1" x14ac:dyDescent="0.3">
      <c r="A30" s="147" t="s">
        <v>542</v>
      </c>
      <c r="B30" s="236" t="s">
        <v>390</v>
      </c>
      <c r="C30" s="240" t="str">
        <f>+IF(LEN('Anx I pg 1 oferta'!$C$56)&gt;0,"","MAX.  "&amp;VLOOKUP(B29,'% admitidos'!A:M,11,FALSE)&amp;" - med.  "&amp;VLOOKUP(B29,'% admitidos'!A:M,12,FALSE)&amp;" - MIN. "&amp;VLOOKUP(B29,'% admitidos'!A:M,13,FALSE))</f>
        <v>MAX.  0 - med.  0 - MIN. 0</v>
      </c>
      <c r="D30" s="61"/>
      <c r="E30" s="61"/>
      <c r="F30" s="67"/>
      <c r="G30" s="68"/>
      <c r="H30" s="123"/>
      <c r="J30" s="126"/>
      <c r="K30" s="126"/>
      <c r="L30" s="126"/>
      <c r="M30" s="279"/>
      <c r="N30" s="126"/>
    </row>
    <row r="31" spans="1:23" ht="21.95" customHeight="1" thickBot="1" x14ac:dyDescent="0.3">
      <c r="A31" s="147" t="str">
        <f>+'Anx I pg 1 oferta'!$B$18&amp;"T2_L04_inst_"&amp;B31</f>
        <v>T2_L04_inst_L04-02</v>
      </c>
      <c r="B31" s="176" t="s">
        <v>185</v>
      </c>
      <c r="C31" s="177" t="str">
        <f>+VLOOKUP(B31,'DATOS CENTROS'!B:F,4,FALSE)</f>
        <v xml:space="preserve">TORRESPAÑA EDIFICIO B 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0.25</v>
      </c>
      <c r="G31" s="181" t="str">
        <f>+IF(OR($G$18=0,LEN($G$18)=0),"",+ROUND(((H31)/$G$18),6))</f>
        <v/>
      </c>
      <c r="H31" s="217"/>
      <c r="J31" s="183"/>
      <c r="K31" s="183"/>
      <c r="L31" s="183"/>
      <c r="M31" s="277" t="str">
        <f>+IFERROR(IF(N31&lt;&gt;TRUNC(N31,2),".+ de 2 decim.",IF(COUNTA($H$29:$H$64)&lt;8,8-COUNTA($H$29:$H$64)&amp;" Items ptes.ofertar ",IF(AND($G$18&gt;0,$H$29&gt;0,(N31)/(N31)=1),"ok","mal"))),"¿max.min.ofertado?")</f>
        <v>¿max.min.ofertado?</v>
      </c>
      <c r="N31" s="183" t="str">
        <f>+IF(OR($G$18=0,LEN($G$18)=0),"",IF(OR($G$18&lt;0,+$G$18/$G$18&lt;&gt;1),"Total oferta Lote incorrecto (no numérico o negativo)",IF(AND($G$18&gt;0,$H$29&gt;0,H31&lt;=0),"¿importe ofertado?",IF(AND($G$18&gt;0,$H$29&lt;0),"acum.of.oferta sede &gt;oferta lote",IF(AND($G$18&gt;0,$H$29&gt;0,H31&lt;VLOOKUP(B31,'% admitidos'!A:M,11,FALSE)),+"min."&amp;VLOOKUP(B31,'% admitidos'!A:M,11,FALSE),IF(AND($G$18&gt;0,$H$29&gt;0,H31&gt;VLOOKUP(B31,'% admitidos'!A:M,13,FALSE)),+"max."&amp;VLOOKUP(B31,'% admitidos'!A:M,13,FALSE),+H31))))))</f>
        <v/>
      </c>
    </row>
    <row r="32" spans="1:23" ht="12" customHeight="1" thickTop="1" thickBot="1" x14ac:dyDescent="0.3">
      <c r="A32" s="147" t="s">
        <v>542</v>
      </c>
      <c r="B32" s="237" t="s">
        <v>390</v>
      </c>
      <c r="C32" s="248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135"/>
      <c r="E32" s="135"/>
      <c r="F32" s="136"/>
      <c r="G32" s="137"/>
      <c r="H32" s="138"/>
      <c r="J32" s="126"/>
      <c r="K32" s="126"/>
      <c r="L32" s="126"/>
      <c r="M32" s="279"/>
      <c r="N32" s="126"/>
    </row>
    <row r="33" spans="1:23" ht="21.95" customHeight="1" thickBot="1" x14ac:dyDescent="0.3">
      <c r="A33" s="147" t="str">
        <f>+'Anx I pg 1 oferta'!$B$18&amp;"T2_L04_inst_"&amp;B33</f>
        <v>T2_L04_inst_L04-03</v>
      </c>
      <c r="B33" s="176" t="s">
        <v>187</v>
      </c>
      <c r="C33" s="177" t="str">
        <f>+VLOOKUP(B33,'DATOS CENTROS'!B:F,4,FALSE)</f>
        <v>TORRESPAÑA EDIFICIO C</v>
      </c>
      <c r="D33" s="178"/>
      <c r="E33" s="179" t="str">
        <f>+VLOOKUP(B33,'DATOS CENTROS'!B:F,3,FALSE)</f>
        <v xml:space="preserve"> A + C</v>
      </c>
      <c r="F33" s="180">
        <f>+VLOOKUP(B33,'DATOS CENTROS'!B:F,5,FALSE)</f>
        <v>6.9000000000000006E-2</v>
      </c>
      <c r="G33" s="181" t="str">
        <f>+IF(OR($G$18=0,LEN($G$18)=0),"",+ROUND(((H33)/$G$18),6))</f>
        <v/>
      </c>
      <c r="H33" s="217"/>
      <c r="J33" s="183"/>
      <c r="K33" s="183"/>
      <c r="L33" s="183"/>
      <c r="M33" s="277" t="str">
        <f>+IFERROR(IF(N33&lt;&gt;TRUNC(N33,2),".+ de 2 decim.",IF(COUNTA($H$29:$H$64)&lt;8,8-COUNTA($H$29:$H$64)&amp;" Items ptes.ofertar ",IF(AND($G$18&gt;0,$H$29&gt;0,(N33)/(N33)=1),"ok","mal"))),"¿max.min.ofertado?")</f>
        <v>¿max.min.ofertado?</v>
      </c>
      <c r="N33" s="183" t="str">
        <f>+IF(OR($G$18=0,LEN($G$18)=0),"",IF(OR($G$18&lt;0,+$G$18/$G$18&lt;&gt;1),"Total oferta Lote incorrecto (no numérico o negativo)",IF(AND($G$18&gt;0,$H$29&gt;0,H33&lt;=0),"¿importe ofertado?",IF(AND($G$18&gt;0,$H$29&lt;0),"acum.of.oferta sede &gt;oferta lote",IF(AND($G$18&gt;0,$H$29&gt;0,H33&lt;VLOOKUP(B33,'% admitidos'!A:M,11,FALSE)),+"min."&amp;VLOOKUP(B33,'% admitidos'!A:M,11,FALSE),IF(AND($G$18&gt;0,$H$29&gt;0,H33&gt;VLOOKUP(B33,'% admitidos'!A:M,13,FALSE)),+"max."&amp;VLOOKUP(B33,'% admitidos'!A:M,13,FALSE),+H33))))))</f>
        <v/>
      </c>
    </row>
    <row r="34" spans="1:23" ht="12" customHeight="1" thickBot="1" x14ac:dyDescent="0.3">
      <c r="A34" s="147" t="s">
        <v>542</v>
      </c>
      <c r="B34" s="236" t="s">
        <v>390</v>
      </c>
      <c r="C34" s="24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61"/>
      <c r="E34" s="61"/>
      <c r="F34" s="67"/>
      <c r="G34" s="67"/>
      <c r="H34" s="123"/>
      <c r="J34" s="126"/>
      <c r="K34" s="126"/>
      <c r="L34" s="126"/>
      <c r="M34" s="279"/>
      <c r="N34" s="126"/>
    </row>
    <row r="35" spans="1:23" ht="21.95" customHeight="1" thickBot="1" x14ac:dyDescent="0.3">
      <c r="A35" s="147" t="str">
        <f>+'Anx I pg 1 oferta'!$B$18&amp;"T2_L04_inst_"&amp;B35</f>
        <v>T2_L04_inst_L04-04</v>
      </c>
      <c r="B35" s="186" t="s">
        <v>189</v>
      </c>
      <c r="C35" s="187" t="str">
        <f>+VLOOKUP(B35,'DATOS CENTROS'!B:F,4,FALSE)</f>
        <v>INSTITUTO RTVE EDIFICIO DOCENTE</v>
      </c>
      <c r="D35" s="188"/>
      <c r="E35" s="189" t="str">
        <f>+VLOOKUP(B35,'DATOS CENTROS'!B:F,3,FALSE)</f>
        <v xml:space="preserve"> A + C</v>
      </c>
      <c r="F35" s="220">
        <f>+VLOOKUP(B35,'DATOS CENTROS'!B:F,5,FALSE)</f>
        <v>0.123</v>
      </c>
      <c r="G35" s="190" t="str">
        <f>+IF(OR($G$18=0,LEN($G$18)=0),"",+ROUND(((H35)/$G$18),6))</f>
        <v/>
      </c>
      <c r="H35" s="218"/>
      <c r="J35" s="183"/>
      <c r="K35" s="183"/>
      <c r="L35" s="183"/>
      <c r="M35" s="277" t="str">
        <f>+IFERROR(IF(N35&lt;&gt;TRUNC(N35,2),".+ de 2 decim.",IF(COUNTA($H$29:$H$64)&lt;8,8-COUNTA($H$29:$H$64)&amp;" Items ptes.ofertar ",IF(AND($G$18&gt;0,$H$29&gt;0,(N35)/(N35)=1),"ok","mal"))),"¿max.min.ofertado?")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negativo)",IF(AND($G$18&gt;0,$H$29&gt;0,H35&lt;=0),"¿importe ofertado?",IF(AND($G$18&gt;0,$H$29&lt;0),"acum.of.oferta sede &gt;oferta lote",IF(AND($G$18&gt;0,$H$29&gt;0,H35&lt;VLOOKUP(B35,'% admitidos'!A:M,11,FALSE)),+"min."&amp;VLOOKUP(B35,'% admitidos'!A:M,11,FALSE),IF(AND($G$18&gt;0,$H$29&gt;0,H35&gt;VLOOKUP(B35,'% admitidos'!A:M,13,FALSE)),+"max."&amp;VLOOKUP(B35,'% admitidos'!A:M,13,FALSE),+H35))))))</f>
        <v/>
      </c>
    </row>
    <row r="36" spans="1:23" ht="12" customHeight="1" thickTop="1" thickBot="1" x14ac:dyDescent="0.3">
      <c r="A36" s="147" t="s">
        <v>542</v>
      </c>
      <c r="B36" s="152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69"/>
      <c r="G36" s="69"/>
      <c r="H36" s="71"/>
      <c r="J36" s="126"/>
      <c r="K36" s="126"/>
      <c r="L36" s="126"/>
      <c r="M36" s="279"/>
      <c r="N36" s="126"/>
    </row>
    <row r="37" spans="1:23" ht="21.95" customHeight="1" thickBot="1" x14ac:dyDescent="0.3">
      <c r="A37" s="147" t="str">
        <f>+'Anx I pg 1 oferta'!$B$18&amp;"T2_L04_inst_"&amp;B37</f>
        <v>T2_L04_inst_L04-05</v>
      </c>
      <c r="B37" s="176" t="s">
        <v>191</v>
      </c>
      <c r="C37" s="177" t="str">
        <f>+VLOOKUP(B37,'DATOS CENTROS'!B:F,4,FALSE)</f>
        <v>INSTITUTO RTVE EDIFICIO COROS</v>
      </c>
      <c r="D37" s="178"/>
      <c r="E37" s="179" t="str">
        <f>+VLOOKUP(B37,'DATOS CENTROS'!B:F,3,FALSE)</f>
        <v xml:space="preserve"> A + C</v>
      </c>
      <c r="F37" s="180">
        <f>+VLOOKUP(B37,'DATOS CENTROS'!B:F,5,FALSE)</f>
        <v>0.08</v>
      </c>
      <c r="G37" s="181" t="str">
        <f>+IF(OR($G$18=0,LEN($G$18)=0),"",+ROUND(((H37)/$G$18),6))</f>
        <v/>
      </c>
      <c r="H37" s="217"/>
      <c r="J37" s="183"/>
      <c r="K37" s="183"/>
      <c r="L37" s="183"/>
      <c r="M37" s="277" t="str">
        <f>+IFERROR(IF(N37&lt;&gt;TRUNC(N37,2),".+ de 2 decim.",IF(COUNTA($H$29:$H$64)&lt;8,8-COUNTA($H$29:$H$64)&amp;" Items ptes.ofertar ",IF(AND($G$18&gt;0,$H$29&gt;0,(N37)/(N37)=1),"ok","mal"))),"¿max.min.ofertado?")</f>
        <v>¿max.min.ofertado?</v>
      </c>
      <c r="N37" s="183" t="str">
        <f>+IF(OR($G$18=0,LEN($G$18)=0),"",IF(OR($G$18&lt;0,+$G$18/$G$18&lt;&gt;1),"Total oferta Lote incorrecto (no numérico o negativo)",IF(AND($G$18&gt;0,$H$29&gt;0,H37&lt;=0),"¿importe ofertado?",IF(AND($G$18&gt;0,$H$29&lt;0),"acum.of.oferta sede &gt;oferta lote",IF(AND($G$18&gt;0,$H$29&gt;0,H37&lt;VLOOKUP(B37,'% admitidos'!A:M,11,FALSE)),+"min."&amp;VLOOKUP(B37,'% admitidos'!A:M,11,FALSE),IF(AND($G$18&gt;0,$H$29&gt;0,H37&gt;VLOOKUP(B37,'% admitidos'!A:M,13,FALSE)),+"max."&amp;+ROUND(VLOOKUP(B37,'% admitidos'!A:M,13,FALSE),4),+H37))))))</f>
        <v/>
      </c>
    </row>
    <row r="38" spans="1:23" ht="12" customHeight="1" thickTop="1" thickBot="1" x14ac:dyDescent="0.3">
      <c r="A38" s="147" t="s">
        <v>542</v>
      </c>
      <c r="B38" s="237" t="s">
        <v>390</v>
      </c>
      <c r="C38" s="248" t="str">
        <f>+IF(LEN('Anx I pg 1 oferta'!$C$56)&gt;0,"","min. "&amp;VLOOKUP(B37,'% admitidos'!A:M,11,FALSE)&amp;" - med.  "&amp;VLOOKUP(B37,'% admitidos'!A:M,12,FALSE)&amp;" - max.  "&amp;+ROUND(VLOOKUP(B37,'% admitidos'!A:M,13,FALSE),6))</f>
        <v>min. 0 - med.  0 - max.  0</v>
      </c>
      <c r="D38" s="135"/>
      <c r="E38" s="135"/>
      <c r="F38" s="135"/>
      <c r="G38" s="135"/>
      <c r="H38" s="144"/>
      <c r="J38" s="107"/>
      <c r="K38" s="107"/>
      <c r="L38" s="107"/>
      <c r="M38" s="279"/>
      <c r="N38" s="107"/>
    </row>
    <row r="39" spans="1:23" ht="21.95" customHeight="1" thickBot="1" x14ac:dyDescent="0.3">
      <c r="A39" s="147" t="str">
        <f>+'Anx I pg 1 oferta'!$B$18&amp;"T2_L04_inst_"&amp;B39</f>
        <v>T2_L04_inst_L04-06</v>
      </c>
      <c r="B39" s="176" t="s">
        <v>193</v>
      </c>
      <c r="C39" s="177" t="str">
        <f>+VLOOKUP(B39,'DATOS CENTROS'!B:F,4,FALSE)</f>
        <v>C.E. OM MAJADAHONDA</v>
      </c>
      <c r="D39" s="178"/>
      <c r="E39" s="179" t="str">
        <f>+VLOOKUP(B39,'DATOS CENTROS'!B:F,3,FALSE)</f>
        <v xml:space="preserve"> A + C</v>
      </c>
      <c r="F39" s="180">
        <f>+VLOOKUP(B39,'DATOS CENTROS'!B:F,5,FALSE)</f>
        <v>0.10100000000000001</v>
      </c>
      <c r="G39" s="190" t="str">
        <f>+IF(OR($G$18=0,LEN($G$18)=0),"",+ROUND(((H39)/$G$18),6))</f>
        <v/>
      </c>
      <c r="H39" s="218"/>
      <c r="J39" s="183"/>
      <c r="K39" s="183"/>
      <c r="L39" s="183"/>
      <c r="M39" s="277" t="str">
        <f>+IFERROR(IF(N39&lt;&gt;TRUNC(N39,2),".+ de 2 decim.",IF(COUNTA($H$29:$H$64)&lt;8,8-COUNTA($H$29:$H$64)&amp;" Items ptes.ofertar ",IF(AND($G$18&gt;0,$H$29&gt;0,(N39)/(N39)=1),"ok","mal"))),"¿max.min.ofertado?")</f>
        <v>¿max.min.ofertado?</v>
      </c>
      <c r="N39" s="183" t="str">
        <f>+IF(OR($G$18=0,LEN($G$18)=0),"",IF(OR($G$18&lt;0,+$G$18/$G$18&lt;&gt;1),"Total oferta Lote incorrecto (no numérico o negativo)",IF(AND($G$18&gt;0,$H$29&gt;0,H39&lt;=0),"¿importe ofertado?",IF(AND($G$18&gt;0,$H$29&lt;0),"acum.of.oferta sede &gt;oferta lote",IF(AND($G$18&gt;0,$H$29&gt;0,H39&lt;VLOOKUP(B39,'% admitidos'!A:M,11,FALSE)),+"min."&amp;VLOOKUP(B39,'% admitidos'!A:M,11,FALSE),IF(AND($G$18&gt;0,$H$29&gt;0,H39&gt;VLOOKUP(B39,'% admitidos'!A:M,13,FALSE)),+"max."&amp;+ROUND(VLOOKUP(B39,'% admitidos'!A:M,13,FALSE),4),+H39))))))</f>
        <v/>
      </c>
      <c r="Q39" s="101"/>
      <c r="R39" s="101"/>
      <c r="S39" s="101"/>
      <c r="T39" s="101"/>
      <c r="U39" s="101"/>
      <c r="V39" s="101"/>
      <c r="W39" s="101"/>
    </row>
    <row r="40" spans="1:23" ht="12" customHeight="1" thickTop="1" thickBot="1" x14ac:dyDescent="0.3">
      <c r="A40" s="147" t="s">
        <v>542</v>
      </c>
      <c r="B40" s="236" t="s">
        <v>390</v>
      </c>
      <c r="C40" s="248" t="str">
        <f>+IF(LEN('Anx I pg 1 oferta'!$C$56)&gt;0,"","min. "&amp;VLOOKUP(B39,'% admitidos'!A:M,11,FALSE)&amp;" - med.  "&amp;VLOOKUP(B39,'% admitidos'!A:M,12,FALSE)&amp;" - max.  "&amp;+ROUND(VLOOKUP(B39,'% admitidos'!A:M,13,FALSE),6))</f>
        <v>min. 0 - med.  0 - max.  0</v>
      </c>
      <c r="D40" s="61"/>
      <c r="E40" s="61"/>
      <c r="F40" s="67"/>
      <c r="G40" s="68"/>
      <c r="H40" s="123"/>
      <c r="J40" s="126"/>
      <c r="K40" s="126"/>
      <c r="L40" s="126"/>
      <c r="M40" s="279"/>
      <c r="N40" s="126"/>
    </row>
    <row r="41" spans="1:23" ht="21.95" customHeight="1" thickBot="1" x14ac:dyDescent="0.3">
      <c r="A41" s="147" t="str">
        <f>+'Anx I pg 1 oferta'!$B$18&amp;"T2_L04_inst_"&amp;B41</f>
        <v>T2_L04_inst_L04-07</v>
      </c>
      <c r="B41" s="186" t="s">
        <v>195</v>
      </c>
      <c r="C41" s="187" t="str">
        <f>+VLOOKUP(B41,'DATOS CENTROS'!B:F,4,FALSE)</f>
        <v>S.U. Madrid (San Anastasio)</v>
      </c>
      <c r="D41" s="188"/>
      <c r="E41" s="189" t="str">
        <f>+VLOOKUP(B41,'DATOS CENTROS'!B:F,3,FALSE)</f>
        <v>C</v>
      </c>
      <c r="F41" s="220">
        <f>+VLOOKUP(B41,'DATOS CENTROS'!B:F,5,FALSE)</f>
        <v>1.0999999999999999E-2</v>
      </c>
      <c r="G41" s="190" t="str">
        <f>+IF(OR($G$18=0,LEN($G$18)=0),"",+ROUND(((H41)/$G$18),6))</f>
        <v/>
      </c>
      <c r="H41" s="218"/>
      <c r="J41" s="183"/>
      <c r="K41" s="183"/>
      <c r="L41" s="183"/>
      <c r="M41" s="277" t="str">
        <f>+IFERROR(IF(N41&lt;&gt;TRUNC(N41,2),".+ de 2 decim.",IF(COUNTA($H$29:$H$64)&lt;8,8-COUNTA($H$29:$H$64)&amp;" Items ptes.ofertar ",IF(AND($G$18&gt;0,$H$29&gt;0,(N41)/(N41)=1),"ok","mal"))),"¿max.min.ofertado?")</f>
        <v>¿max.min.ofertado?</v>
      </c>
      <c r="N41" s="183" t="str">
        <f>+IF(OR($G$18=0,LEN($G$18)=0),"",IF(OR($G$18&lt;0,+$G$18/$G$18&lt;&gt;1),"Total oferta Lote incorrecto (no numérico o negativo)",IF(AND($G$18&gt;0,$H$29&gt;0,H41&lt;=0),"¿importe ofertado?",IF(AND($G$18&gt;0,$H$29&lt;0),"acum.of.oferta sede &gt;oferta lote",IF(AND($G$18&gt;0,$H$29&gt;0,H41&lt;VLOOKUP(B41,'% admitidos'!A:M,11,FALSE)),+"min."&amp;VLOOKUP(B41,'% admitidos'!A:M,11,FALSE),IF(AND($G$18&gt;0,$H$29&gt;0,H41&gt;VLOOKUP(B41,'% admitidos'!A:M,13,FALSE)),+"max."&amp;VLOOKUP(B41,'% admitidos'!A:M,13,FALSE),+H41))))))</f>
        <v/>
      </c>
    </row>
    <row r="42" spans="1:23" ht="12" customHeight="1" thickTop="1" thickBot="1" x14ac:dyDescent="0.3">
      <c r="A42" s="147" t="s">
        <v>542</v>
      </c>
      <c r="B42" s="152" t="s">
        <v>390</v>
      </c>
      <c r="C42" s="254" t="str">
        <f>+IF(LEN('Anx I pg 1 oferta'!$C$56)&gt;0,"","min. "&amp;VLOOKUP(B41,'% admitidos'!A:M,11,FALSE)&amp;" - med.  "&amp;VLOOKUP(B41,'% admitidos'!A:M,12,FALSE)&amp;" - max.  "&amp;VLOOKUP(B41,'% admitidos'!A:M,13,FALSE))</f>
        <v>min. 0 - med.  0 - max.  0</v>
      </c>
      <c r="D42" s="54"/>
      <c r="E42" s="54"/>
      <c r="F42" s="69"/>
      <c r="G42" s="70"/>
      <c r="H42" s="124"/>
      <c r="J42" s="126"/>
      <c r="K42" s="126"/>
      <c r="L42" s="126"/>
      <c r="M42" s="279"/>
      <c r="N42" s="126"/>
    </row>
    <row r="43" spans="1:23" ht="21.95" customHeight="1" thickBot="1" x14ac:dyDescent="0.3">
      <c r="A43" s="147" t="str">
        <f>+'Anx I pg 1 oferta'!$B$18&amp;"T2_L04_inst_"&amp;B43</f>
        <v>T2_L04_inst_L04-08</v>
      </c>
      <c r="B43" s="176" t="s">
        <v>197</v>
      </c>
      <c r="C43" s="177" t="str">
        <f>+VLOOKUP(B43,'DATOS CENTROS'!B:F,4,FALSE)</f>
        <v>S.U. Madrid (Enrique Larreta)</v>
      </c>
      <c r="D43" s="178"/>
      <c r="E43" s="179" t="str">
        <f>+VLOOKUP(B43,'DATOS CENTROS'!B:F,3,FALSE)</f>
        <v>C</v>
      </c>
      <c r="F43" s="180">
        <f>+VLOOKUP(B43,'DATOS CENTROS'!B:F,5,FALSE)</f>
        <v>1.0999999999999999E-2</v>
      </c>
      <c r="G43" s="181" t="str">
        <f>+IF(OR($G$18=0,LEN($G$18)=0),"",+ROUND(((H43)/$G$18),6))</f>
        <v/>
      </c>
      <c r="H43" s="217"/>
      <c r="J43" s="183"/>
      <c r="K43" s="183"/>
      <c r="L43" s="183"/>
      <c r="M43" s="277" t="str">
        <f>+IFERROR(IF(N43&lt;&gt;TRUNC(N43,2),".+ de 2 decim.",IF(COUNTA($H$29:$H$64)&lt;8,8-COUNTA($H$29:$H$64)&amp;" Items ptes.ofertar ",IF(AND($G$18&gt;0,$H$29&gt;0,(N43)/(N43)=1),"ok","mal"))),"¿max.min.ofertado?")</f>
        <v>¿max.min.ofertado?</v>
      </c>
      <c r="N43" s="183" t="str">
        <f>+IF(OR($G$18=0,LEN($G$18)=0),"",IF(OR($G$18&lt;0,+$G$18/$G$18&lt;&gt;1),"Total oferta Lote incorrecto (no numérico o negativo)",IF(AND($G$18&gt;0,$H$29&gt;0,H43&lt;=0),"¿importe ofertado?",IF(AND($G$18&gt;0,$H$29&lt;0),"acum.of.oferta sede &gt;oferta lote",IF(AND($G$18&gt;0,$H$29&gt;0,H43&lt;VLOOKUP(B43,'% admitidos'!A:M,11,FALSE)),+"min."&amp;VLOOKUP(B43,'% admitidos'!A:M,11,FALSE),IF(AND($G$18&gt;0,$H$29&gt;0,H43&gt;VLOOKUP(B43,'% admitidos'!A:M,13,FALSE)),+"max."&amp;VLOOKUP(B43,'% admitidos'!A:M,13,FALSE),+H43))))))</f>
        <v/>
      </c>
    </row>
    <row r="44" spans="1:23" ht="12" customHeight="1" thickBot="1" x14ac:dyDescent="0.3">
      <c r="A44" s="147" t="s">
        <v>542</v>
      </c>
      <c r="B44" s="236" t="s">
        <v>390</v>
      </c>
      <c r="C44" s="240" t="str">
        <f>+IF(LEN('Anx I pg 1 oferta'!$C$56)&gt;0,"","min. "&amp;VLOOKUP(B43,'% admitidos'!A:M,11,FALSE)&amp;" - med.  "&amp;VLOOKUP(B43,'% admitidos'!A:M,12,FALSE)&amp;" - max.  "&amp;VLOOKUP(B43,'% admitidos'!A:M,13,FALSE))</f>
        <v>min. 0 - med.  0 - max.  0</v>
      </c>
      <c r="D44" s="61"/>
      <c r="E44" s="61"/>
      <c r="F44" s="67"/>
      <c r="G44" s="67"/>
      <c r="H44" s="123"/>
      <c r="J44" s="126"/>
      <c r="K44" s="126"/>
      <c r="L44" s="126"/>
      <c r="M44" s="87"/>
      <c r="N44" s="126"/>
    </row>
    <row r="45" spans="1:23" ht="30" hidden="1" customHeight="1" thickBot="1" x14ac:dyDescent="0.3">
      <c r="A45" s="147" t="s">
        <v>544</v>
      </c>
      <c r="B45" s="222" t="s">
        <v>390</v>
      </c>
      <c r="C45" s="177"/>
      <c r="D45" s="178"/>
      <c r="E45" s="179"/>
      <c r="F45" s="180"/>
      <c r="G45" s="181"/>
      <c r="H45" s="182"/>
      <c r="J45" s="183"/>
      <c r="K45" s="183"/>
      <c r="L45" s="183"/>
      <c r="M45" s="184"/>
      <c r="N45" s="183"/>
    </row>
    <row r="46" spans="1:23" ht="15.75" hidden="1" thickBot="1" x14ac:dyDescent="0.3">
      <c r="A46" s="147" t="s">
        <v>544</v>
      </c>
      <c r="B46" s="236" t="s">
        <v>390</v>
      </c>
      <c r="C46" s="60"/>
      <c r="D46" s="61"/>
      <c r="E46" s="61"/>
      <c r="F46" s="67"/>
      <c r="G46" s="67"/>
      <c r="H46" s="145"/>
      <c r="J46" s="126"/>
      <c r="K46" s="126"/>
      <c r="L46" s="126"/>
      <c r="M46" s="87"/>
      <c r="N46" s="126"/>
    </row>
    <row r="47" spans="1:23" ht="30" hidden="1" customHeight="1" thickBot="1" x14ac:dyDescent="0.3">
      <c r="A47" s="147" t="s">
        <v>544</v>
      </c>
      <c r="B47" s="222" t="s">
        <v>390</v>
      </c>
      <c r="C47" s="192"/>
      <c r="D47" s="193"/>
      <c r="E47" s="194"/>
      <c r="F47" s="220"/>
      <c r="G47" s="195"/>
      <c r="H47" s="196"/>
      <c r="J47" s="183"/>
      <c r="K47" s="183"/>
      <c r="L47" s="183"/>
      <c r="M47" s="184"/>
      <c r="N47" s="183"/>
    </row>
    <row r="48" spans="1:23" ht="15.75" hidden="1" thickBot="1" x14ac:dyDescent="0.3">
      <c r="A48" s="147" t="s">
        <v>544</v>
      </c>
      <c r="B48" s="152" t="s">
        <v>390</v>
      </c>
      <c r="C48" s="53"/>
      <c r="D48" s="54"/>
      <c r="E48" s="54"/>
      <c r="F48" s="54"/>
      <c r="G48" s="54"/>
      <c r="H48" s="55"/>
      <c r="J48" s="107"/>
      <c r="K48" s="107"/>
      <c r="L48" s="107"/>
      <c r="M48" s="56"/>
      <c r="N48" s="107"/>
    </row>
    <row r="49" spans="1:23" ht="30" hidden="1" customHeight="1" thickBot="1" x14ac:dyDescent="0.3">
      <c r="A49" s="147" t="s">
        <v>544</v>
      </c>
      <c r="B49" s="222" t="s">
        <v>390</v>
      </c>
      <c r="C49" s="177"/>
      <c r="D49" s="178"/>
      <c r="E49" s="179"/>
      <c r="F49" s="180"/>
      <c r="G49" s="181"/>
      <c r="H49" s="182"/>
      <c r="J49" s="183"/>
      <c r="K49" s="183"/>
      <c r="L49" s="183"/>
      <c r="M49" s="184"/>
      <c r="N49" s="183"/>
      <c r="Q49" s="101"/>
      <c r="R49" s="101"/>
      <c r="S49" s="101"/>
      <c r="T49" s="101"/>
      <c r="U49" s="101"/>
      <c r="V49" s="101"/>
      <c r="W49" s="101"/>
    </row>
    <row r="50" spans="1:23" ht="15.75" hidden="1" thickBot="1" x14ac:dyDescent="0.3">
      <c r="A50" s="147" t="s">
        <v>544</v>
      </c>
      <c r="B50" s="236" t="s">
        <v>390</v>
      </c>
      <c r="C50" s="60"/>
      <c r="D50" s="61"/>
      <c r="E50" s="61"/>
      <c r="F50" s="67"/>
      <c r="G50" s="68"/>
      <c r="H50" s="123"/>
      <c r="J50" s="126"/>
      <c r="K50" s="126"/>
      <c r="L50" s="126"/>
      <c r="M50" s="87"/>
      <c r="N50" s="126"/>
    </row>
    <row r="51" spans="1:23" ht="30" hidden="1" customHeight="1" thickBot="1" x14ac:dyDescent="0.3">
      <c r="A51" s="147" t="s">
        <v>544</v>
      </c>
      <c r="B51" s="222" t="s">
        <v>390</v>
      </c>
      <c r="C51" s="177"/>
      <c r="D51" s="178"/>
      <c r="E51" s="179"/>
      <c r="F51" s="180"/>
      <c r="G51" s="181"/>
      <c r="H51" s="182"/>
      <c r="J51" s="183"/>
      <c r="K51" s="183"/>
      <c r="L51" s="183"/>
      <c r="M51" s="184"/>
      <c r="N51" s="183"/>
    </row>
    <row r="52" spans="1:23" ht="16.5" hidden="1" thickTop="1" thickBot="1" x14ac:dyDescent="0.3">
      <c r="A52" s="147" t="s">
        <v>544</v>
      </c>
      <c r="B52" s="237" t="s">
        <v>390</v>
      </c>
      <c r="C52" s="134"/>
      <c r="D52" s="135"/>
      <c r="E52" s="135"/>
      <c r="F52" s="136"/>
      <c r="G52" s="137"/>
      <c r="H52" s="138"/>
      <c r="J52" s="126"/>
      <c r="K52" s="126"/>
      <c r="L52" s="126"/>
      <c r="M52" s="87"/>
      <c r="N52" s="126"/>
    </row>
    <row r="53" spans="1:23" ht="30" hidden="1" customHeight="1" thickBot="1" x14ac:dyDescent="0.3">
      <c r="A53" s="147" t="s">
        <v>544</v>
      </c>
      <c r="B53" s="222" t="s">
        <v>390</v>
      </c>
      <c r="C53" s="177"/>
      <c r="D53" s="178"/>
      <c r="E53" s="179"/>
      <c r="F53" s="180"/>
      <c r="G53" s="181"/>
      <c r="H53" s="182"/>
      <c r="J53" s="183"/>
      <c r="K53" s="183"/>
      <c r="L53" s="183"/>
      <c r="M53" s="184"/>
      <c r="N53" s="183"/>
    </row>
    <row r="54" spans="1:23" ht="15.75" hidden="1" thickBot="1" x14ac:dyDescent="0.3">
      <c r="A54" s="147" t="s">
        <v>544</v>
      </c>
      <c r="B54" s="236" t="s">
        <v>390</v>
      </c>
      <c r="C54" s="60"/>
      <c r="D54" s="61"/>
      <c r="E54" s="61"/>
      <c r="F54" s="67"/>
      <c r="G54" s="67"/>
      <c r="H54" s="123"/>
      <c r="J54" s="126"/>
      <c r="K54" s="126"/>
      <c r="L54" s="126"/>
      <c r="M54" s="87"/>
      <c r="N54" s="126"/>
    </row>
    <row r="55" spans="1:23" ht="30" hidden="1" customHeight="1" thickBot="1" x14ac:dyDescent="0.3">
      <c r="A55" s="147" t="s">
        <v>544</v>
      </c>
      <c r="B55" s="222" t="s">
        <v>390</v>
      </c>
      <c r="C55" s="187"/>
      <c r="D55" s="188"/>
      <c r="E55" s="189"/>
      <c r="F55" s="220"/>
      <c r="G55" s="190"/>
      <c r="H55" s="185"/>
      <c r="J55" s="183"/>
      <c r="K55" s="183"/>
      <c r="L55" s="183"/>
      <c r="M55" s="184"/>
      <c r="N55" s="183"/>
    </row>
    <row r="56" spans="1:23" ht="16.5" hidden="1" thickTop="1" thickBot="1" x14ac:dyDescent="0.3">
      <c r="A56" s="147" t="s">
        <v>544</v>
      </c>
      <c r="B56" s="152" t="s">
        <v>390</v>
      </c>
      <c r="C56" s="53"/>
      <c r="D56" s="54"/>
      <c r="E56" s="54"/>
      <c r="F56" s="69"/>
      <c r="G56" s="69"/>
      <c r="H56" s="71"/>
      <c r="J56" s="126"/>
      <c r="K56" s="126"/>
      <c r="L56" s="126"/>
      <c r="M56" s="87"/>
      <c r="N56" s="126"/>
    </row>
    <row r="57" spans="1:23" ht="30" hidden="1" customHeight="1" thickBot="1" x14ac:dyDescent="0.3">
      <c r="A57" s="147" t="s">
        <v>544</v>
      </c>
      <c r="B57" s="222" t="s">
        <v>390</v>
      </c>
      <c r="C57" s="177"/>
      <c r="D57" s="178"/>
      <c r="E57" s="179"/>
      <c r="F57" s="180"/>
      <c r="G57" s="181"/>
      <c r="H57" s="182"/>
      <c r="J57" s="183"/>
      <c r="K57" s="183"/>
      <c r="L57" s="183"/>
      <c r="M57" s="184"/>
      <c r="N57" s="183"/>
    </row>
    <row r="58" spans="1:23" ht="16.5" hidden="1" thickTop="1" thickBot="1" x14ac:dyDescent="0.3">
      <c r="A58" s="147" t="s">
        <v>544</v>
      </c>
      <c r="B58" s="237" t="s">
        <v>390</v>
      </c>
      <c r="C58" s="134"/>
      <c r="D58" s="135"/>
      <c r="E58" s="135"/>
      <c r="F58" s="135"/>
      <c r="G58" s="135"/>
      <c r="H58" s="144"/>
      <c r="J58" s="107"/>
      <c r="K58" s="107"/>
      <c r="L58" s="107"/>
      <c r="M58" s="56"/>
      <c r="N58" s="107"/>
    </row>
    <row r="59" spans="1:23" ht="30" hidden="1" customHeight="1" thickBot="1" x14ac:dyDescent="0.3">
      <c r="A59" s="147" t="s">
        <v>544</v>
      </c>
      <c r="B59" s="222" t="s">
        <v>390</v>
      </c>
      <c r="C59" s="177"/>
      <c r="D59" s="178"/>
      <c r="E59" s="179"/>
      <c r="F59" s="180"/>
      <c r="G59" s="181"/>
      <c r="H59" s="182"/>
      <c r="J59" s="183"/>
      <c r="K59" s="183"/>
      <c r="L59" s="183"/>
      <c r="M59" s="184"/>
      <c r="N59" s="183"/>
      <c r="Q59" s="101"/>
      <c r="R59" s="101"/>
      <c r="S59" s="101"/>
      <c r="T59" s="101"/>
      <c r="U59" s="101"/>
      <c r="V59" s="101"/>
      <c r="W59" s="101"/>
    </row>
    <row r="60" spans="1:23" ht="15.75" hidden="1" thickBot="1" x14ac:dyDescent="0.3">
      <c r="A60" s="147" t="s">
        <v>544</v>
      </c>
      <c r="B60" s="236" t="s">
        <v>390</v>
      </c>
      <c r="C60" s="60"/>
      <c r="D60" s="61"/>
      <c r="E60" s="61"/>
      <c r="F60" s="67"/>
      <c r="G60" s="68"/>
      <c r="H60" s="123"/>
      <c r="J60" s="126"/>
      <c r="K60" s="126"/>
      <c r="L60" s="126"/>
      <c r="M60" s="87"/>
      <c r="N60" s="126"/>
    </row>
    <row r="61" spans="1:23" ht="30" hidden="1" customHeight="1" thickBot="1" x14ac:dyDescent="0.3">
      <c r="A61" s="147" t="s">
        <v>544</v>
      </c>
      <c r="B61" s="222" t="s">
        <v>390</v>
      </c>
      <c r="C61" s="187"/>
      <c r="D61" s="188"/>
      <c r="E61" s="189"/>
      <c r="F61" s="220"/>
      <c r="G61" s="190"/>
      <c r="H61" s="185"/>
      <c r="J61" s="183"/>
      <c r="K61" s="183"/>
      <c r="L61" s="183"/>
      <c r="M61" s="184"/>
      <c r="N61" s="183"/>
    </row>
    <row r="62" spans="1:23" ht="16.5" hidden="1" thickTop="1" thickBot="1" x14ac:dyDescent="0.3">
      <c r="A62" s="147" t="s">
        <v>544</v>
      </c>
      <c r="B62" s="152" t="s">
        <v>390</v>
      </c>
      <c r="C62" s="53"/>
      <c r="D62" s="54"/>
      <c r="E62" s="54"/>
      <c r="F62" s="69"/>
      <c r="G62" s="70"/>
      <c r="H62" s="124"/>
      <c r="J62" s="126"/>
      <c r="K62" s="126"/>
      <c r="L62" s="126"/>
      <c r="M62" s="87"/>
      <c r="N62" s="126"/>
    </row>
    <row r="63" spans="1:23" ht="30" hidden="1" customHeight="1" thickBot="1" x14ac:dyDescent="0.3">
      <c r="A63" s="147" t="s">
        <v>544</v>
      </c>
      <c r="B63" s="222" t="s">
        <v>390</v>
      </c>
      <c r="C63" s="177"/>
      <c r="D63" s="178"/>
      <c r="E63" s="179"/>
      <c r="F63" s="180"/>
      <c r="G63" s="181"/>
      <c r="H63" s="182"/>
      <c r="J63" s="183"/>
      <c r="K63" s="183"/>
      <c r="L63" s="183"/>
      <c r="M63" s="184"/>
      <c r="N63" s="183"/>
    </row>
    <row r="64" spans="1:23" ht="15.75" hidden="1" thickBot="1" x14ac:dyDescent="0.3">
      <c r="A64" s="147" t="s">
        <v>544</v>
      </c>
      <c r="B64" s="236" t="s">
        <v>390</v>
      </c>
      <c r="C64" s="60"/>
      <c r="D64" s="61"/>
      <c r="E64" s="61"/>
      <c r="F64" s="67"/>
      <c r="G64" s="67"/>
      <c r="H64" s="123"/>
      <c r="J64" s="87"/>
      <c r="N64" s="126"/>
    </row>
    <row r="65" spans="1:16" x14ac:dyDescent="0.25">
      <c r="A65" s="147" t="str">
        <f>+'Anx I pg 1 oferta'!$B$18&amp;"T2_L04_TOT"</f>
        <v>T2_L04_TOT</v>
      </c>
      <c r="B65" s="122"/>
      <c r="C65" s="122"/>
      <c r="D65" s="122"/>
      <c r="E65" s="122"/>
      <c r="F65" s="285">
        <f>SUM(F29:F64)</f>
        <v>0.99999999999999989</v>
      </c>
      <c r="G65" s="286">
        <f>SUM(G29:G64)</f>
        <v>0</v>
      </c>
      <c r="H65" s="287">
        <f>SUM(H29:H64)</f>
        <v>0</v>
      </c>
      <c r="I65" s="15"/>
    </row>
    <row r="66" spans="1:16" x14ac:dyDescent="0.25">
      <c r="A66" s="147" t="s">
        <v>544</v>
      </c>
    </row>
    <row r="67" spans="1:16" x14ac:dyDescent="0.25">
      <c r="A67" s="147" t="s">
        <v>544</v>
      </c>
      <c r="M67" s="82"/>
      <c r="P67" s="82"/>
    </row>
    <row r="68" spans="1:16" x14ac:dyDescent="0.25">
      <c r="A68" s="147" t="s">
        <v>544</v>
      </c>
    </row>
    <row r="69" spans="1:16" ht="30" customHeight="1" x14ac:dyDescent="0.25">
      <c r="A69" s="147" t="s">
        <v>544</v>
      </c>
      <c r="B69" s="226" t="s">
        <v>530</v>
      </c>
    </row>
    <row r="70" spans="1:16" x14ac:dyDescent="0.25">
      <c r="A70" s="147" t="s">
        <v>544</v>
      </c>
    </row>
    <row r="71" spans="1:16" x14ac:dyDescent="0.25">
      <c r="A71" s="147" t="s">
        <v>544</v>
      </c>
      <c r="B71" s="2" t="s">
        <v>535</v>
      </c>
    </row>
    <row r="72" spans="1:16" ht="15.75" thickBot="1" x14ac:dyDescent="0.3">
      <c r="A72" s="147" t="s">
        <v>544</v>
      </c>
      <c r="B72" s="2" t="str">
        <f>+$B$11</f>
        <v>Lote  4 : Comunidad de Madrid, sede Torrespaña, Dehesa de la Villa (IRTVE), inmuebles sin uso.</v>
      </c>
    </row>
    <row r="73" spans="1:16" ht="30" customHeight="1" thickBot="1" x14ac:dyDescent="0.3">
      <c r="A73" s="147" t="str">
        <f>+'Anx I pg 1 oferta'!$B$18&amp;"T3_L04_cab0a"</f>
        <v>T3_L04_cab0a</v>
      </c>
      <c r="B73" s="200" t="s">
        <v>59</v>
      </c>
      <c r="C73" s="200" t="s">
        <v>379</v>
      </c>
      <c r="D73" s="200" t="s">
        <v>60</v>
      </c>
      <c r="E73" s="200" t="s">
        <v>359</v>
      </c>
      <c r="F73" s="201" t="s">
        <v>378</v>
      </c>
      <c r="G73" s="105" t="s">
        <v>533</v>
      </c>
      <c r="H73" s="103" t="s">
        <v>360</v>
      </c>
      <c r="I73" s="103" t="s">
        <v>361</v>
      </c>
      <c r="J73" s="106" t="s">
        <v>380</v>
      </c>
      <c r="K73" s="274" t="s">
        <v>490</v>
      </c>
      <c r="L73" s="202"/>
    </row>
    <row r="74" spans="1:16" ht="15.75" thickBot="1" x14ac:dyDescent="0.3">
      <c r="A74" s="147" t="str">
        <f>+'Anx I pg 1 oferta'!$B$18&amp;"T3_L04_cab0b"</f>
        <v>T3_L04_cab0b</v>
      </c>
      <c r="B74" s="203" t="str">
        <f>+B27</f>
        <v>LOTE-04</v>
      </c>
      <c r="C74" s="204" t="str">
        <f>+C27</f>
        <v>(plazo de 2 meses)</v>
      </c>
      <c r="D74" s="205"/>
      <c r="E74" s="206"/>
      <c r="F74" s="207">
        <v>1</v>
      </c>
      <c r="G74" s="208"/>
      <c r="H74" s="205"/>
      <c r="I74" s="205"/>
      <c r="J74" s="205"/>
      <c r="K74" s="206"/>
      <c r="L74" s="202"/>
    </row>
    <row r="75" spans="1:16" ht="15.75" thickBot="1" x14ac:dyDescent="0.3">
      <c r="A75" s="147" t="str">
        <f>+'Anx I pg 1 oferta'!$B$18&amp;"T3_L04_cab1(CA)"</f>
        <v>T3_L04_cab1(CA)</v>
      </c>
      <c r="B75" s="209" t="s">
        <v>390</v>
      </c>
      <c r="C75" s="210" t="str">
        <f>+C28</f>
        <v>MADRID</v>
      </c>
      <c r="D75" s="211"/>
      <c r="E75" s="211"/>
      <c r="F75" s="211"/>
      <c r="G75" s="211"/>
      <c r="H75" s="211"/>
      <c r="I75" s="211"/>
      <c r="J75" s="211"/>
      <c r="K75" s="212">
        <f>+G18</f>
        <v>0</v>
      </c>
      <c r="L75" s="202"/>
    </row>
    <row r="76" spans="1:16" ht="15.75" thickBot="1" x14ac:dyDescent="0.3">
      <c r="A76" s="147" t="str">
        <f>+'Anx I pg 1 oferta'!$B$18&amp;"T3_L04_inst_"&amp;B76&amp;"DA1"</f>
        <v>T3_L04_inst_L04-01DA1</v>
      </c>
      <c r="B76" s="348" t="s">
        <v>183</v>
      </c>
      <c r="C76" s="351" t="str">
        <f>+VLOOKUP(B76,'DATOS CENTROS'!B:E,2,FALSE)</f>
        <v>C/ O'Donnell, 77</v>
      </c>
      <c r="D76" s="354" t="str">
        <f>+VLOOKUP(B76,'DATOS CENTROS'!B:E,3,FALSE)</f>
        <v xml:space="preserve"> A + C</v>
      </c>
      <c r="E76" s="357" t="str">
        <f>+VLOOKUP(B76,'DATOS CENTROS'!B:E,4,FALSE)</f>
        <v>TORRESPAÑA EDIFICIO A</v>
      </c>
      <c r="F76" s="360">
        <f>+VLOOKUP(B76,'DATOS CENTROS'!B:F,5,FALSE)</f>
        <v>0.35499999999999998</v>
      </c>
      <c r="G76" s="342" t="str">
        <f>+IF(G29&gt;0,G29,"")</f>
        <v/>
      </c>
      <c r="H76" s="213" t="s">
        <v>25</v>
      </c>
      <c r="I76" s="214">
        <v>0.15</v>
      </c>
      <c r="J76" s="215" t="e">
        <f>+IF($K$76&gt;0,+ROUND($K$76*I76,0),"")</f>
        <v>#VALUE!</v>
      </c>
      <c r="K76" s="345" t="str">
        <f>+IFERROR(IF(OR($G$18=0,LEN($G$18)=0),"",IF(AND(M29="ok",(H29/H29)=1),N29,"")),"¿?")</f>
        <v/>
      </c>
      <c r="L76" s="202"/>
    </row>
    <row r="77" spans="1:16" ht="15.75" thickBot="1" x14ac:dyDescent="0.3">
      <c r="A77" s="147" t="str">
        <f>+'Anx I pg 1 oferta'!$B$18&amp;"T3_L04_inst_"&amp;B76&amp;"DA2"</f>
        <v>T3_L04_inst_L04-01DA2</v>
      </c>
      <c r="B77" s="349"/>
      <c r="C77" s="352"/>
      <c r="D77" s="355"/>
      <c r="E77" s="358"/>
      <c r="F77" s="361"/>
      <c r="G77" s="343"/>
      <c r="H77" s="213" t="s">
        <v>26</v>
      </c>
      <c r="I77" s="214">
        <v>0.1</v>
      </c>
      <c r="J77" s="215" t="e">
        <f t="shared" ref="J77:J79" si="0">+IF($K$76&gt;0,+ROUND($K$76*I77,0),"")</f>
        <v>#VALUE!</v>
      </c>
      <c r="K77" s="346"/>
      <c r="L77" s="202"/>
    </row>
    <row r="78" spans="1:16" ht="15.75" thickBot="1" x14ac:dyDescent="0.3">
      <c r="A78" s="147" t="str">
        <f>+'Anx I pg 1 oferta'!$B$18&amp;"T3_L04_inst_"&amp;B76&amp;"DA3"</f>
        <v>T3_L04_inst_L04-01DA3</v>
      </c>
      <c r="B78" s="349"/>
      <c r="C78" s="352"/>
      <c r="D78" s="355"/>
      <c r="E78" s="358"/>
      <c r="F78" s="361"/>
      <c r="G78" s="343"/>
      <c r="H78" s="213" t="s">
        <v>27</v>
      </c>
      <c r="I78" s="214">
        <v>0.2</v>
      </c>
      <c r="J78" s="215" t="e">
        <f t="shared" si="0"/>
        <v>#VALUE!</v>
      </c>
      <c r="K78" s="346"/>
      <c r="L78" s="202"/>
    </row>
    <row r="79" spans="1:16" ht="15.75" thickBot="1" x14ac:dyDescent="0.3">
      <c r="A79" s="147" t="str">
        <f>+'Anx I pg 1 oferta'!$B$18&amp;"T3_L04_inst_"&amp;B76&amp;"DA4"</f>
        <v>T3_L04_inst_L04-01DA4</v>
      </c>
      <c r="B79" s="349"/>
      <c r="C79" s="352"/>
      <c r="D79" s="355"/>
      <c r="E79" s="358"/>
      <c r="F79" s="361"/>
      <c r="G79" s="343"/>
      <c r="H79" s="213" t="s">
        <v>57</v>
      </c>
      <c r="I79" s="214">
        <v>0.05</v>
      </c>
      <c r="J79" s="215" t="e">
        <f t="shared" si="0"/>
        <v>#VALUE!</v>
      </c>
      <c r="K79" s="346"/>
      <c r="L79" s="202"/>
    </row>
    <row r="80" spans="1:16" ht="15.75" thickBot="1" x14ac:dyDescent="0.3">
      <c r="A80" s="147" t="str">
        <f>+'Anx I pg 1 oferta'!$B$18&amp;"T3_L04_inst_"&amp;B76&amp;"DA5"</f>
        <v>T3_L04_inst_L04-01DA5</v>
      </c>
      <c r="B80" s="350"/>
      <c r="C80" s="353"/>
      <c r="D80" s="356"/>
      <c r="E80" s="359"/>
      <c r="F80" s="362"/>
      <c r="G80" s="344"/>
      <c r="H80" s="213" t="s">
        <v>364</v>
      </c>
      <c r="I80" s="214">
        <v>0.5</v>
      </c>
      <c r="J80" s="215" t="e">
        <f>+IF($K$76&gt;0,+$K$76-SUM(J76:J79),"")</f>
        <v>#VALUE!</v>
      </c>
      <c r="K80" s="347"/>
      <c r="L80" s="202"/>
    </row>
    <row r="81" spans="1:12" ht="15.75" customHeight="1" thickBot="1" x14ac:dyDescent="0.3">
      <c r="A81" s="147" t="str">
        <f>+'Anx I pg 1 oferta'!$B$18&amp;"T3_L04_inst_"&amp;B81&amp;"DA1"</f>
        <v>T3_L04_inst_L04-02DA1</v>
      </c>
      <c r="B81" s="348" t="s">
        <v>185</v>
      </c>
      <c r="C81" s="351" t="str">
        <f>+VLOOKUP(B81,'DATOS CENTROS'!B:E,2,FALSE)</f>
        <v>C/ O'Donnell, 77</v>
      </c>
      <c r="D81" s="354" t="str">
        <f>+VLOOKUP(B81,'DATOS CENTROS'!B:E,3,FALSE)</f>
        <v xml:space="preserve"> A + C</v>
      </c>
      <c r="E81" s="357" t="str">
        <f>+VLOOKUP(B81,'DATOS CENTROS'!B:E,4,FALSE)</f>
        <v xml:space="preserve">TORRESPAÑA EDIFICIO B </v>
      </c>
      <c r="F81" s="360">
        <f>+VLOOKUP(B81,'DATOS CENTROS'!B:F,5,FALSE)</f>
        <v>0.25</v>
      </c>
      <c r="G81" s="342" t="str">
        <f>+IF(G31&gt;0,G31,"")</f>
        <v/>
      </c>
      <c r="H81" s="213" t="s">
        <v>25</v>
      </c>
      <c r="I81" s="214">
        <v>0.15</v>
      </c>
      <c r="J81" s="215" t="e">
        <f>+IF($K$81&gt;0,+ROUND($K$81*I81,0),"")</f>
        <v>#VALUE!</v>
      </c>
      <c r="K81" s="345" t="str">
        <f>+IFERROR(IF(OR($G$18=0,LEN($G$18)=0),"",IF(AND(M31="ok",(H31/H31)=1),N31,"")),"¿?")</f>
        <v/>
      </c>
      <c r="L81" s="202"/>
    </row>
    <row r="82" spans="1:12" ht="15.75" thickBot="1" x14ac:dyDescent="0.3">
      <c r="A82" s="147" t="str">
        <f>+'Anx I pg 1 oferta'!$B$18&amp;"T3_L04_inst_"&amp;B81&amp;"DA2"</f>
        <v>T3_L04_inst_L04-02DA2</v>
      </c>
      <c r="B82" s="349"/>
      <c r="C82" s="352"/>
      <c r="D82" s="355"/>
      <c r="E82" s="358"/>
      <c r="F82" s="361"/>
      <c r="G82" s="343"/>
      <c r="H82" s="213" t="s">
        <v>26</v>
      </c>
      <c r="I82" s="214">
        <v>0.1</v>
      </c>
      <c r="J82" s="215" t="e">
        <f t="shared" ref="J82:J84" si="1">+IF($K$81&gt;0,+ROUND($K$81*I82,0),"")</f>
        <v>#VALUE!</v>
      </c>
      <c r="K82" s="346"/>
      <c r="L82" s="202"/>
    </row>
    <row r="83" spans="1:12" ht="15.75" thickBot="1" x14ac:dyDescent="0.3">
      <c r="A83" s="147" t="str">
        <f>+'Anx I pg 1 oferta'!$B$18&amp;"T3_L04_inst_"&amp;B81&amp;"DA3"</f>
        <v>T3_L04_inst_L04-02DA3</v>
      </c>
      <c r="B83" s="349"/>
      <c r="C83" s="352"/>
      <c r="D83" s="355"/>
      <c r="E83" s="358"/>
      <c r="F83" s="361"/>
      <c r="G83" s="343"/>
      <c r="H83" s="213" t="s">
        <v>27</v>
      </c>
      <c r="I83" s="214">
        <v>0.2</v>
      </c>
      <c r="J83" s="215" t="e">
        <f t="shared" si="1"/>
        <v>#VALUE!</v>
      </c>
      <c r="K83" s="346"/>
      <c r="L83" s="202"/>
    </row>
    <row r="84" spans="1:12" ht="15.75" thickBot="1" x14ac:dyDescent="0.3">
      <c r="A84" s="147" t="str">
        <f>+'Anx I pg 1 oferta'!$B$18&amp;"T3_L04_inst_"&amp;B81&amp;"DA4"</f>
        <v>T3_L04_inst_L04-02DA4</v>
      </c>
      <c r="B84" s="349"/>
      <c r="C84" s="352"/>
      <c r="D84" s="355"/>
      <c r="E84" s="358"/>
      <c r="F84" s="361"/>
      <c r="G84" s="343"/>
      <c r="H84" s="213" t="s">
        <v>57</v>
      </c>
      <c r="I84" s="214">
        <v>0.05</v>
      </c>
      <c r="J84" s="215" t="e">
        <f t="shared" si="1"/>
        <v>#VALUE!</v>
      </c>
      <c r="K84" s="346"/>
      <c r="L84" s="202"/>
    </row>
    <row r="85" spans="1:12" ht="15.75" thickBot="1" x14ac:dyDescent="0.3">
      <c r="A85" s="147" t="str">
        <f>+'Anx I pg 1 oferta'!$B$18&amp;"T3_L04_inst_"&amp;B81&amp;"DA5"</f>
        <v>T3_L04_inst_L04-02DA5</v>
      </c>
      <c r="B85" s="350"/>
      <c r="C85" s="353"/>
      <c r="D85" s="356"/>
      <c r="E85" s="359"/>
      <c r="F85" s="362"/>
      <c r="G85" s="344"/>
      <c r="H85" s="213" t="s">
        <v>364</v>
      </c>
      <c r="I85" s="214">
        <v>0.5</v>
      </c>
      <c r="J85" s="215" t="e">
        <f>+IF($K$81&gt;0,+$K$81-SUM(J81:J84),"")</f>
        <v>#VALUE!</v>
      </c>
      <c r="K85" s="347"/>
      <c r="L85" s="202"/>
    </row>
    <row r="86" spans="1:12" ht="15.75" thickBot="1" x14ac:dyDescent="0.3">
      <c r="A86" s="147" t="str">
        <f>+'Anx I pg 1 oferta'!$B$18&amp;"T3_L04_inst_"&amp;B86&amp;"DA1"</f>
        <v>T3_L04_inst_L04-03DA1</v>
      </c>
      <c r="B86" s="348" t="s">
        <v>187</v>
      </c>
      <c r="C86" s="351" t="str">
        <f>+VLOOKUP(B86,'DATOS CENTROS'!B:E,2,FALSE)</f>
        <v>C/ O'Donnell, 77</v>
      </c>
      <c r="D86" s="354" t="str">
        <f>+VLOOKUP(B86,'DATOS CENTROS'!B:E,3,FALSE)</f>
        <v xml:space="preserve"> A + C</v>
      </c>
      <c r="E86" s="357" t="str">
        <f>+VLOOKUP(B86,'DATOS CENTROS'!B:E,4,FALSE)</f>
        <v>TORRESPAÑA EDIFICIO C</v>
      </c>
      <c r="F86" s="360">
        <f>+VLOOKUP(B86,'DATOS CENTROS'!B:F,5,FALSE)</f>
        <v>6.9000000000000006E-2</v>
      </c>
      <c r="G86" s="342" t="str">
        <f>+IF(G33&gt;0,G33,"")</f>
        <v/>
      </c>
      <c r="H86" s="213" t="s">
        <v>25</v>
      </c>
      <c r="I86" s="214">
        <v>0.15</v>
      </c>
      <c r="J86" s="215" t="e">
        <f>+IF($K$86&gt;0,+ROUND($K$86*I86,0),"")</f>
        <v>#VALUE!</v>
      </c>
      <c r="K86" s="345" t="str">
        <f>+IFERROR(IF(OR($G$18=0,LEN($G$18)=0),"",IF(AND(M33="ok",(H33/H33)=1),N33,"")),"¿?")</f>
        <v/>
      </c>
      <c r="L86" s="202"/>
    </row>
    <row r="87" spans="1:12" ht="15.75" thickBot="1" x14ac:dyDescent="0.3">
      <c r="A87" s="147" t="str">
        <f>+'Anx I pg 1 oferta'!$B$18&amp;"T3_L04_inst_"&amp;B86&amp;"DA2"</f>
        <v>T3_L04_inst_L04-03DA2</v>
      </c>
      <c r="B87" s="349"/>
      <c r="C87" s="352"/>
      <c r="D87" s="355"/>
      <c r="E87" s="358"/>
      <c r="F87" s="361"/>
      <c r="G87" s="343"/>
      <c r="H87" s="213" t="s">
        <v>26</v>
      </c>
      <c r="I87" s="214">
        <v>0.1</v>
      </c>
      <c r="J87" s="215" t="e">
        <f t="shared" ref="J87:J89" si="2">+IF($K$86&gt;0,+ROUND($K$86*I87,0),"")</f>
        <v>#VALUE!</v>
      </c>
      <c r="K87" s="346"/>
      <c r="L87" s="202"/>
    </row>
    <row r="88" spans="1:12" ht="15.75" thickBot="1" x14ac:dyDescent="0.3">
      <c r="A88" s="147" t="str">
        <f>+'Anx I pg 1 oferta'!$B$18&amp;"T3_L04_inst_"&amp;B86&amp;"DA3"</f>
        <v>T3_L04_inst_L04-03DA3</v>
      </c>
      <c r="B88" s="349"/>
      <c r="C88" s="352"/>
      <c r="D88" s="355"/>
      <c r="E88" s="358"/>
      <c r="F88" s="361"/>
      <c r="G88" s="343"/>
      <c r="H88" s="213" t="s">
        <v>27</v>
      </c>
      <c r="I88" s="214">
        <v>0.2</v>
      </c>
      <c r="J88" s="215" t="e">
        <f t="shared" si="2"/>
        <v>#VALUE!</v>
      </c>
      <c r="K88" s="346"/>
      <c r="L88" s="202"/>
    </row>
    <row r="89" spans="1:12" ht="15.75" thickBot="1" x14ac:dyDescent="0.3">
      <c r="A89" s="147" t="str">
        <f>+'Anx I pg 1 oferta'!$B$18&amp;"T3_L04_inst_"&amp;B86&amp;"DA4"</f>
        <v>T3_L04_inst_L04-03DA4</v>
      </c>
      <c r="B89" s="349"/>
      <c r="C89" s="352"/>
      <c r="D89" s="355"/>
      <c r="E89" s="358"/>
      <c r="F89" s="361"/>
      <c r="G89" s="343"/>
      <c r="H89" s="213" t="s">
        <v>57</v>
      </c>
      <c r="I89" s="214">
        <v>0.05</v>
      </c>
      <c r="J89" s="215" t="e">
        <f t="shared" si="2"/>
        <v>#VALUE!</v>
      </c>
      <c r="K89" s="346"/>
      <c r="L89" s="202"/>
    </row>
    <row r="90" spans="1:12" ht="15.75" thickBot="1" x14ac:dyDescent="0.3">
      <c r="A90" s="147" t="str">
        <f>+'Anx I pg 1 oferta'!$B$18&amp;"T3_L04_inst_"&amp;B86&amp;"DA5"</f>
        <v>T3_L04_inst_L04-03DA5</v>
      </c>
      <c r="B90" s="350"/>
      <c r="C90" s="353"/>
      <c r="D90" s="356"/>
      <c r="E90" s="359"/>
      <c r="F90" s="362"/>
      <c r="G90" s="344"/>
      <c r="H90" s="213" t="s">
        <v>364</v>
      </c>
      <c r="I90" s="214">
        <v>0.5</v>
      </c>
      <c r="J90" s="215" t="e">
        <f>+IF($K$86&gt;0,+$K$86-SUM(J86:J89),"")</f>
        <v>#VALUE!</v>
      </c>
      <c r="K90" s="347"/>
      <c r="L90" s="202"/>
    </row>
    <row r="91" spans="1:12" ht="15.75" thickBot="1" x14ac:dyDescent="0.3">
      <c r="A91" s="147" t="str">
        <f>+'Anx I pg 1 oferta'!$B$18&amp;"T3_L04_inst_"&amp;B91&amp;"DA1"</f>
        <v>T3_L04_inst_L04-04DA1</v>
      </c>
      <c r="B91" s="348" t="s">
        <v>189</v>
      </c>
      <c r="C91" s="351" t="str">
        <f>+VLOOKUP(B91,'DATOS CENTROS'!B:E,2,FALSE)</f>
        <v>Ctra. Dehesa Villa, s/n</v>
      </c>
      <c r="D91" s="354" t="str">
        <f>+VLOOKUP(B91,'DATOS CENTROS'!B:E,3,FALSE)</f>
        <v xml:space="preserve"> A + C</v>
      </c>
      <c r="E91" s="357" t="str">
        <f>+VLOOKUP(B91,'DATOS CENTROS'!B:E,4,FALSE)</f>
        <v>INSTITUTO RTVE EDIFICIO DOCENTE</v>
      </c>
      <c r="F91" s="360">
        <f>+VLOOKUP(B91,'DATOS CENTROS'!B:F,5,FALSE)</f>
        <v>0.123</v>
      </c>
      <c r="G91" s="342" t="str">
        <f>+IF(G35&gt;0,G35,"")</f>
        <v/>
      </c>
      <c r="H91" s="213" t="s">
        <v>25</v>
      </c>
      <c r="I91" s="214">
        <v>0.15</v>
      </c>
      <c r="J91" s="215" t="e">
        <f>+IF($K$91&gt;0,+ROUND($K$91*I91,0),"")</f>
        <v>#VALUE!</v>
      </c>
      <c r="K91" s="345" t="str">
        <f>+IFERROR(IF(OR($G$18=0,LEN($G$18)=0),"",IF(AND(M35="ok",(H35/H35)=1),N35,"")),"¿?")</f>
        <v/>
      </c>
      <c r="L91" s="202"/>
    </row>
    <row r="92" spans="1:12" ht="15.75" thickBot="1" x14ac:dyDescent="0.3">
      <c r="A92" s="147" t="str">
        <f>+'Anx I pg 1 oferta'!$B$18&amp;"T3_L04_inst_"&amp;B91&amp;"DA2"</f>
        <v>T3_L04_inst_L04-04DA2</v>
      </c>
      <c r="B92" s="349"/>
      <c r="C92" s="352"/>
      <c r="D92" s="355"/>
      <c r="E92" s="358"/>
      <c r="F92" s="361"/>
      <c r="G92" s="343"/>
      <c r="H92" s="213" t="s">
        <v>26</v>
      </c>
      <c r="I92" s="214">
        <v>0.1</v>
      </c>
      <c r="J92" s="215" t="e">
        <f t="shared" ref="J92:J94" si="3">+IF($K$91&gt;0,+ROUND($K$91*I92,0),"")</f>
        <v>#VALUE!</v>
      </c>
      <c r="K92" s="346"/>
      <c r="L92" s="202"/>
    </row>
    <row r="93" spans="1:12" ht="15.75" thickBot="1" x14ac:dyDescent="0.3">
      <c r="A93" s="147" t="str">
        <f>+'Anx I pg 1 oferta'!$B$18&amp;"T3_L04_inst_"&amp;B91&amp;"DA3"</f>
        <v>T3_L04_inst_L04-04DA3</v>
      </c>
      <c r="B93" s="349"/>
      <c r="C93" s="352"/>
      <c r="D93" s="355"/>
      <c r="E93" s="358"/>
      <c r="F93" s="361"/>
      <c r="G93" s="343"/>
      <c r="H93" s="213" t="s">
        <v>27</v>
      </c>
      <c r="I93" s="214">
        <v>0.2</v>
      </c>
      <c r="J93" s="215" t="e">
        <f t="shared" si="3"/>
        <v>#VALUE!</v>
      </c>
      <c r="K93" s="346"/>
      <c r="L93" s="202"/>
    </row>
    <row r="94" spans="1:12" ht="15.75" thickBot="1" x14ac:dyDescent="0.3">
      <c r="A94" s="147" t="str">
        <f>+'Anx I pg 1 oferta'!$B$18&amp;"T3_L04_inst_"&amp;B91&amp;"DA4"</f>
        <v>T3_L04_inst_L04-04DA4</v>
      </c>
      <c r="B94" s="349"/>
      <c r="C94" s="352"/>
      <c r="D94" s="355"/>
      <c r="E94" s="358"/>
      <c r="F94" s="361"/>
      <c r="G94" s="343"/>
      <c r="H94" s="213" t="s">
        <v>57</v>
      </c>
      <c r="I94" s="214">
        <v>0.05</v>
      </c>
      <c r="J94" s="215" t="e">
        <f t="shared" si="3"/>
        <v>#VALUE!</v>
      </c>
      <c r="K94" s="346"/>
      <c r="L94" s="202"/>
    </row>
    <row r="95" spans="1:12" ht="15.75" thickBot="1" x14ac:dyDescent="0.3">
      <c r="A95" s="147" t="str">
        <f>+'Anx I pg 1 oferta'!$B$18&amp;"T3_L04_inst_"&amp;B91&amp;"DA5"</f>
        <v>T3_L04_inst_L04-04DA5</v>
      </c>
      <c r="B95" s="350"/>
      <c r="C95" s="353"/>
      <c r="D95" s="356"/>
      <c r="E95" s="359"/>
      <c r="F95" s="362"/>
      <c r="G95" s="344"/>
      <c r="H95" s="213" t="s">
        <v>364</v>
      </c>
      <c r="I95" s="214">
        <v>0.5</v>
      </c>
      <c r="J95" s="215" t="e">
        <f>+IF($K$91&gt;0,+$K$91-SUM(J91:J94),"")</f>
        <v>#VALUE!</v>
      </c>
      <c r="K95" s="347"/>
      <c r="L95" s="202"/>
    </row>
    <row r="96" spans="1:12" ht="15.75" thickBot="1" x14ac:dyDescent="0.3">
      <c r="A96" s="147" t="str">
        <f>+'Anx I pg 1 oferta'!$B$18&amp;"T3_L04_inst_"&amp;B96&amp;"DA1"</f>
        <v>T3_L04_inst_L04-05DA1</v>
      </c>
      <c r="B96" s="348" t="s">
        <v>191</v>
      </c>
      <c r="C96" s="351" t="str">
        <f>+VLOOKUP(B96,'DATOS CENTROS'!B:E,2,FALSE)</f>
        <v>Ctra. Dehesa Villa, s/n</v>
      </c>
      <c r="D96" s="354" t="str">
        <f>+VLOOKUP(B96,'DATOS CENTROS'!B:E,3,FALSE)</f>
        <v xml:space="preserve"> A + C</v>
      </c>
      <c r="E96" s="357" t="str">
        <f>+VLOOKUP(B96,'DATOS CENTROS'!B:E,4,FALSE)</f>
        <v>INSTITUTO RTVE EDIFICIO COROS</v>
      </c>
      <c r="F96" s="360">
        <f>+VLOOKUP(B96,'DATOS CENTROS'!B:F,5,FALSE)</f>
        <v>0.08</v>
      </c>
      <c r="G96" s="342" t="str">
        <f>+IF(G37&gt;0,G37,"")</f>
        <v/>
      </c>
      <c r="H96" s="213" t="s">
        <v>25</v>
      </c>
      <c r="I96" s="214">
        <v>0.15</v>
      </c>
      <c r="J96" s="215" t="e">
        <f>+IF($K$96&gt;0,+ROUND($K$96*I96,0),"")</f>
        <v>#VALUE!</v>
      </c>
      <c r="K96" s="345" t="str">
        <f>+IFERROR(IF(OR($G$18=0,LEN($G$18)=0),"",IF(AND(M37="ok",(H37/H37)=1),N37,"")),"¿?")</f>
        <v/>
      </c>
      <c r="L96" s="202"/>
    </row>
    <row r="97" spans="1:12" ht="15.75" thickBot="1" x14ac:dyDescent="0.3">
      <c r="A97" s="147" t="str">
        <f>+'Anx I pg 1 oferta'!$B$18&amp;"T3_L04_inst_"&amp;B96&amp;"DA2"</f>
        <v>T3_L04_inst_L04-05DA2</v>
      </c>
      <c r="B97" s="349"/>
      <c r="C97" s="352"/>
      <c r="D97" s="355"/>
      <c r="E97" s="358"/>
      <c r="F97" s="361"/>
      <c r="G97" s="343"/>
      <c r="H97" s="213" t="s">
        <v>26</v>
      </c>
      <c r="I97" s="214">
        <v>0.1</v>
      </c>
      <c r="J97" s="215" t="e">
        <f t="shared" ref="J97:J99" si="4">+IF($K$96&gt;0,+ROUND($K$96*I97,0),"")</f>
        <v>#VALUE!</v>
      </c>
      <c r="K97" s="346"/>
      <c r="L97" s="202"/>
    </row>
    <row r="98" spans="1:12" ht="15.75" thickBot="1" x14ac:dyDescent="0.3">
      <c r="A98" s="147" t="str">
        <f>+'Anx I pg 1 oferta'!$B$18&amp;"T3_L04_inst_"&amp;B96&amp;"DA3"</f>
        <v>T3_L04_inst_L04-05DA3</v>
      </c>
      <c r="B98" s="349"/>
      <c r="C98" s="352"/>
      <c r="D98" s="355"/>
      <c r="E98" s="358"/>
      <c r="F98" s="361"/>
      <c r="G98" s="343"/>
      <c r="H98" s="213" t="s">
        <v>27</v>
      </c>
      <c r="I98" s="214">
        <v>0.2</v>
      </c>
      <c r="J98" s="215" t="e">
        <f t="shared" si="4"/>
        <v>#VALUE!</v>
      </c>
      <c r="K98" s="346"/>
      <c r="L98" s="202"/>
    </row>
    <row r="99" spans="1:12" ht="15.75" thickBot="1" x14ac:dyDescent="0.3">
      <c r="A99" s="147" t="str">
        <f>+'Anx I pg 1 oferta'!$B$18&amp;"T3_L04_inst_"&amp;B96&amp;"DA4"</f>
        <v>T3_L04_inst_L04-05DA4</v>
      </c>
      <c r="B99" s="349"/>
      <c r="C99" s="352"/>
      <c r="D99" s="355"/>
      <c r="E99" s="358"/>
      <c r="F99" s="361"/>
      <c r="G99" s="343"/>
      <c r="H99" s="213" t="s">
        <v>57</v>
      </c>
      <c r="I99" s="214">
        <v>0.05</v>
      </c>
      <c r="J99" s="215" t="e">
        <f t="shared" si="4"/>
        <v>#VALUE!</v>
      </c>
      <c r="K99" s="346"/>
      <c r="L99" s="202"/>
    </row>
    <row r="100" spans="1:12" ht="15.75" thickBot="1" x14ac:dyDescent="0.3">
      <c r="A100" s="147" t="str">
        <f>+'Anx I pg 1 oferta'!$B$18&amp;"T3_L04_inst_"&amp;B96&amp;"DA5"</f>
        <v>T3_L04_inst_L04-05DA5</v>
      </c>
      <c r="B100" s="350"/>
      <c r="C100" s="353"/>
      <c r="D100" s="356"/>
      <c r="E100" s="359"/>
      <c r="F100" s="362"/>
      <c r="G100" s="344"/>
      <c r="H100" s="213" t="s">
        <v>364</v>
      </c>
      <c r="I100" s="214">
        <v>0.5</v>
      </c>
      <c r="J100" s="215" t="e">
        <f>+IF($K$96&gt;0,+$K$96-SUM(J96:J99),"")</f>
        <v>#VALUE!</v>
      </c>
      <c r="K100" s="347"/>
      <c r="L100" s="202"/>
    </row>
    <row r="101" spans="1:12" ht="15.75" thickBot="1" x14ac:dyDescent="0.3">
      <c r="A101" s="147" t="str">
        <f>+'Anx I pg 1 oferta'!$B$18&amp;"T3_L04_inst_"&amp;B101&amp;"DA1"</f>
        <v>T3_L04_inst_L04-06DA1</v>
      </c>
      <c r="B101" s="348" t="s">
        <v>193</v>
      </c>
      <c r="C101" s="351" t="str">
        <f>+VLOOKUP(B101,'DATOS CENTROS'!B:E,2,FALSE)</f>
        <v>Majadahonda/Las Rozas</v>
      </c>
      <c r="D101" s="354" t="str">
        <f>+VLOOKUP(B101,'DATOS CENTROS'!B:E,3,FALSE)</f>
        <v xml:space="preserve"> A + C</v>
      </c>
      <c r="E101" s="357" t="str">
        <f>+VLOOKUP(B101,'DATOS CENTROS'!B:E,4,FALSE)</f>
        <v>C.E. OM MAJADAHONDA</v>
      </c>
      <c r="F101" s="360">
        <f>+VLOOKUP(B101,'DATOS CENTROS'!B:F,5,FALSE)</f>
        <v>0.10100000000000001</v>
      </c>
      <c r="G101" s="342" t="str">
        <f>+IF(G39&gt;0,G39,"")</f>
        <v/>
      </c>
      <c r="H101" s="213" t="s">
        <v>25</v>
      </c>
      <c r="I101" s="214">
        <v>0.15</v>
      </c>
      <c r="J101" s="215" t="e">
        <f>+IF($K$101&gt;0,+ROUND($K$101*I101,0),"")</f>
        <v>#VALUE!</v>
      </c>
      <c r="K101" s="345" t="str">
        <f>+IFERROR(IF(OR($G$18=0,LEN($G$18)=0),"",IF(AND(M39="ok",(H39/H39)=1),N39,"")),"¿?")</f>
        <v/>
      </c>
      <c r="L101" s="202"/>
    </row>
    <row r="102" spans="1:12" ht="15.75" thickBot="1" x14ac:dyDescent="0.3">
      <c r="A102" s="147" t="str">
        <f>+'Anx I pg 1 oferta'!$B$18&amp;"T3_L04_inst_"&amp;B101&amp;"DA2"</f>
        <v>T3_L04_inst_L04-06DA2</v>
      </c>
      <c r="B102" s="349"/>
      <c r="C102" s="352"/>
      <c r="D102" s="355"/>
      <c r="E102" s="358"/>
      <c r="F102" s="361"/>
      <c r="G102" s="343"/>
      <c r="H102" s="213" t="s">
        <v>26</v>
      </c>
      <c r="I102" s="214">
        <v>0.1</v>
      </c>
      <c r="J102" s="215" t="e">
        <f t="shared" ref="J102:J104" si="5">+IF($K$101&gt;0,+ROUND($K$101*I102,0),"")</f>
        <v>#VALUE!</v>
      </c>
      <c r="K102" s="346"/>
      <c r="L102" s="202"/>
    </row>
    <row r="103" spans="1:12" ht="15.75" thickBot="1" x14ac:dyDescent="0.3">
      <c r="A103" s="147" t="str">
        <f>+'Anx I pg 1 oferta'!$B$18&amp;"T3_L04_inst_"&amp;B101&amp;"DA3"</f>
        <v>T3_L04_inst_L04-06DA3</v>
      </c>
      <c r="B103" s="349"/>
      <c r="C103" s="352"/>
      <c r="D103" s="355"/>
      <c r="E103" s="358"/>
      <c r="F103" s="361"/>
      <c r="G103" s="343"/>
      <c r="H103" s="213" t="s">
        <v>27</v>
      </c>
      <c r="I103" s="214">
        <v>0.2</v>
      </c>
      <c r="J103" s="215" t="e">
        <f t="shared" si="5"/>
        <v>#VALUE!</v>
      </c>
      <c r="K103" s="346"/>
      <c r="L103" s="202"/>
    </row>
    <row r="104" spans="1:12" ht="15.75" thickBot="1" x14ac:dyDescent="0.3">
      <c r="A104" s="147" t="str">
        <f>+'Anx I pg 1 oferta'!$B$18&amp;"T3_L04_inst_"&amp;B101&amp;"DA4"</f>
        <v>T3_L04_inst_L04-06DA4</v>
      </c>
      <c r="B104" s="349"/>
      <c r="C104" s="352"/>
      <c r="D104" s="355"/>
      <c r="E104" s="358"/>
      <c r="F104" s="361"/>
      <c r="G104" s="343"/>
      <c r="H104" s="213" t="s">
        <v>57</v>
      </c>
      <c r="I104" s="214">
        <v>0.05</v>
      </c>
      <c r="J104" s="215" t="e">
        <f t="shared" si="5"/>
        <v>#VALUE!</v>
      </c>
      <c r="K104" s="346"/>
      <c r="L104" s="202"/>
    </row>
    <row r="105" spans="1:12" ht="15.75" thickBot="1" x14ac:dyDescent="0.3">
      <c r="A105" s="147" t="str">
        <f>+'Anx I pg 1 oferta'!$B$18&amp;"T3_L04_inst_"&amp;B101&amp;"DA5"</f>
        <v>T3_L04_inst_L04-06DA5</v>
      </c>
      <c r="B105" s="350"/>
      <c r="C105" s="353"/>
      <c r="D105" s="356"/>
      <c r="E105" s="359"/>
      <c r="F105" s="362"/>
      <c r="G105" s="344"/>
      <c r="H105" s="213" t="s">
        <v>364</v>
      </c>
      <c r="I105" s="214">
        <v>0.5</v>
      </c>
      <c r="J105" s="215" t="e">
        <f>+IF($K$101&gt;0,+$K$101-SUM(J101:J104),"")</f>
        <v>#VALUE!</v>
      </c>
      <c r="K105" s="347"/>
      <c r="L105" s="202"/>
    </row>
    <row r="106" spans="1:12" ht="15.75" customHeight="1" thickBot="1" x14ac:dyDescent="0.3">
      <c r="A106" s="147" t="str">
        <f>+'Anx I pg 1 oferta'!$B$18&amp;"T3_L04_inst_"&amp;B106&amp;"DA1"</f>
        <v>T3_L04_inst_L04-07DA1</v>
      </c>
      <c r="B106" s="348" t="s">
        <v>195</v>
      </c>
      <c r="C106" s="351" t="str">
        <f>+VLOOKUP(B106,'DATOS CENTROS'!B:E,2,FALSE)</f>
        <v>Calle  San Anastasio 2 Plta. Baja 1 28005</v>
      </c>
      <c r="D106" s="354" t="str">
        <f>+VLOOKUP(B106,'DATOS CENTROS'!B:E,3,FALSE)</f>
        <v>C</v>
      </c>
      <c r="E106" s="357" t="str">
        <f>+VLOOKUP(B106,'DATOS CENTROS'!B:E,4,FALSE)</f>
        <v>S.U. Madrid (San Anastasio)</v>
      </c>
      <c r="F106" s="360">
        <f>+VLOOKUP(B106,'DATOS CENTROS'!B:F,5,FALSE)</f>
        <v>1.0999999999999999E-2</v>
      </c>
      <c r="G106" s="342" t="str">
        <f>+IF(G41&gt;0,G41,"")</f>
        <v/>
      </c>
      <c r="H106" s="213" t="s">
        <v>25</v>
      </c>
      <c r="I106" s="214">
        <v>0.15</v>
      </c>
      <c r="J106" s="215" t="e">
        <f>+IF($K$106&gt;0,+ROUND($K$106*I106,0),"")</f>
        <v>#VALUE!</v>
      </c>
      <c r="K106" s="345" t="str">
        <f>+IFERROR(IF(OR($G$18=0,LEN($G$18)=0),"",IF(AND(M41="ok",(H41/H41)=1),N41,"")),"¿?")</f>
        <v/>
      </c>
      <c r="L106" s="202"/>
    </row>
    <row r="107" spans="1:12" ht="15.75" thickBot="1" x14ac:dyDescent="0.3">
      <c r="A107" s="147" t="str">
        <f>+'Anx I pg 1 oferta'!$B$18&amp;"T3_L04_inst_"&amp;B106&amp;"DA2"</f>
        <v>T3_L04_inst_L04-07DA2</v>
      </c>
      <c r="B107" s="349"/>
      <c r="C107" s="352"/>
      <c r="D107" s="355"/>
      <c r="E107" s="358"/>
      <c r="F107" s="361"/>
      <c r="G107" s="343"/>
      <c r="H107" s="213" t="s">
        <v>26</v>
      </c>
      <c r="I107" s="214">
        <v>0.1</v>
      </c>
      <c r="J107" s="215" t="e">
        <f t="shared" ref="J107:J109" si="6">+IF($K$106&gt;0,+ROUND($K$106*I107,0),"")</f>
        <v>#VALUE!</v>
      </c>
      <c r="K107" s="346"/>
      <c r="L107" s="202"/>
    </row>
    <row r="108" spans="1:12" ht="15.75" thickBot="1" x14ac:dyDescent="0.3">
      <c r="A108" s="147" t="str">
        <f>+'Anx I pg 1 oferta'!$B$18&amp;"T3_L04_inst_"&amp;B106&amp;"DA3"</f>
        <v>T3_L04_inst_L04-07DA3</v>
      </c>
      <c r="B108" s="349"/>
      <c r="C108" s="352"/>
      <c r="D108" s="355"/>
      <c r="E108" s="358"/>
      <c r="F108" s="361"/>
      <c r="G108" s="343"/>
      <c r="H108" s="213" t="s">
        <v>27</v>
      </c>
      <c r="I108" s="214">
        <v>0.2</v>
      </c>
      <c r="J108" s="215" t="e">
        <f t="shared" si="6"/>
        <v>#VALUE!</v>
      </c>
      <c r="K108" s="346"/>
      <c r="L108" s="202"/>
    </row>
    <row r="109" spans="1:12" ht="15.75" thickBot="1" x14ac:dyDescent="0.3">
      <c r="A109" s="147" t="str">
        <f>+'Anx I pg 1 oferta'!$B$18&amp;"T3_L04_inst_"&amp;B106&amp;"DA4"</f>
        <v>T3_L04_inst_L04-07DA4</v>
      </c>
      <c r="B109" s="349"/>
      <c r="C109" s="352"/>
      <c r="D109" s="355"/>
      <c r="E109" s="358"/>
      <c r="F109" s="361"/>
      <c r="G109" s="343"/>
      <c r="H109" s="213" t="s">
        <v>57</v>
      </c>
      <c r="I109" s="214">
        <v>0.05</v>
      </c>
      <c r="J109" s="215" t="e">
        <f t="shared" si="6"/>
        <v>#VALUE!</v>
      </c>
      <c r="K109" s="346"/>
      <c r="L109" s="202"/>
    </row>
    <row r="110" spans="1:12" ht="15.75" thickBot="1" x14ac:dyDescent="0.3">
      <c r="A110" s="147" t="str">
        <f>+'Anx I pg 1 oferta'!$B$18&amp;"T3_L04_inst_"&amp;B106&amp;"DA5"</f>
        <v>T3_L04_inst_L04-07DA5</v>
      </c>
      <c r="B110" s="350"/>
      <c r="C110" s="353"/>
      <c r="D110" s="356"/>
      <c r="E110" s="359"/>
      <c r="F110" s="362"/>
      <c r="G110" s="344"/>
      <c r="H110" s="213" t="s">
        <v>364</v>
      </c>
      <c r="I110" s="214">
        <v>0.5</v>
      </c>
      <c r="J110" s="215" t="e">
        <f>+IF($K$106&gt;0,+$K$106-SUM(J106:J109),"")</f>
        <v>#VALUE!</v>
      </c>
      <c r="K110" s="347"/>
      <c r="L110" s="202"/>
    </row>
    <row r="111" spans="1:12" ht="15.75" thickBot="1" x14ac:dyDescent="0.3">
      <c r="A111" s="147" t="str">
        <f>+'Anx I pg 1 oferta'!$B$18&amp;"T3_L04_inst_"&amp;B111&amp;"DA1"</f>
        <v>T3_L04_inst_L04-08DA1</v>
      </c>
      <c r="B111" s="348" t="s">
        <v>197</v>
      </c>
      <c r="C111" s="351" t="str">
        <f>+VLOOKUP(B111,'DATOS CENTROS'!B:E,2,FALSE)</f>
        <v>Calle  Enrique Larreta 12 Plta. Baja 1 28036</v>
      </c>
      <c r="D111" s="354" t="str">
        <f>+VLOOKUP(B111,'DATOS CENTROS'!B:E,3,FALSE)</f>
        <v>C</v>
      </c>
      <c r="E111" s="357" t="str">
        <f>+VLOOKUP(B111,'DATOS CENTROS'!B:E,4,FALSE)</f>
        <v>S.U. Madrid (Enrique Larreta)</v>
      </c>
      <c r="F111" s="360">
        <f>+VLOOKUP(B111,'DATOS CENTROS'!B:F,5,FALSE)</f>
        <v>1.0999999999999999E-2</v>
      </c>
      <c r="G111" s="342" t="str">
        <f>+IF(G43&gt;0,G43,"")</f>
        <v/>
      </c>
      <c r="H111" s="213" t="s">
        <v>25</v>
      </c>
      <c r="I111" s="214">
        <v>0.15</v>
      </c>
      <c r="J111" s="215" t="e">
        <f>+IF($K$111&gt;0,+ROUND($K$111*I111,0),"")</f>
        <v>#VALUE!</v>
      </c>
      <c r="K111" s="345" t="str">
        <f>+IFERROR(IF(OR($G$18=0,LEN($G$18)=0),"",IF(AND(M43="ok",(H43/H43)=1),N43,"")),"¿?")</f>
        <v/>
      </c>
      <c r="L111" s="202"/>
    </row>
    <row r="112" spans="1:12" ht="15.75" thickBot="1" x14ac:dyDescent="0.3">
      <c r="A112" s="147" t="str">
        <f>+'Anx I pg 1 oferta'!$B$18&amp;"T3_L04_inst_"&amp;B111&amp;"DA2"</f>
        <v>T3_L04_inst_L04-08DA2</v>
      </c>
      <c r="B112" s="349"/>
      <c r="C112" s="352"/>
      <c r="D112" s="355"/>
      <c r="E112" s="358"/>
      <c r="F112" s="361"/>
      <c r="G112" s="343"/>
      <c r="H112" s="213" t="s">
        <v>26</v>
      </c>
      <c r="I112" s="214">
        <v>0.1</v>
      </c>
      <c r="J112" s="215" t="e">
        <f t="shared" ref="J112:J114" si="7">+IF($K$111&gt;0,+ROUND($K$111*I112,0),"")</f>
        <v>#VALUE!</v>
      </c>
      <c r="K112" s="346"/>
      <c r="L112" s="202"/>
    </row>
    <row r="113" spans="1:12" ht="15.75" thickBot="1" x14ac:dyDescent="0.3">
      <c r="A113" s="147" t="str">
        <f>+'Anx I pg 1 oferta'!$B$18&amp;"T3_L04_inst_"&amp;B111&amp;"DA3"</f>
        <v>T3_L04_inst_L04-08DA3</v>
      </c>
      <c r="B113" s="349"/>
      <c r="C113" s="352"/>
      <c r="D113" s="355"/>
      <c r="E113" s="358"/>
      <c r="F113" s="361"/>
      <c r="G113" s="343"/>
      <c r="H113" s="213" t="s">
        <v>27</v>
      </c>
      <c r="I113" s="214">
        <v>0.2</v>
      </c>
      <c r="J113" s="215" t="e">
        <f t="shared" si="7"/>
        <v>#VALUE!</v>
      </c>
      <c r="K113" s="346"/>
      <c r="L113" s="202"/>
    </row>
    <row r="114" spans="1:12" ht="15.75" thickBot="1" x14ac:dyDescent="0.3">
      <c r="A114" s="147" t="str">
        <f>+'Anx I pg 1 oferta'!$B$18&amp;"T3_L04_inst_"&amp;B111&amp;"DA4"</f>
        <v>T3_L04_inst_L04-08DA4</v>
      </c>
      <c r="B114" s="349"/>
      <c r="C114" s="352"/>
      <c r="D114" s="355"/>
      <c r="E114" s="358"/>
      <c r="F114" s="361"/>
      <c r="G114" s="343"/>
      <c r="H114" s="213" t="s">
        <v>57</v>
      </c>
      <c r="I114" s="214">
        <v>0.05</v>
      </c>
      <c r="J114" s="215" t="e">
        <f t="shared" si="7"/>
        <v>#VALUE!</v>
      </c>
      <c r="K114" s="346"/>
      <c r="L114" s="202"/>
    </row>
    <row r="115" spans="1:12" ht="15.75" thickBot="1" x14ac:dyDescent="0.3">
      <c r="A115" s="147" t="str">
        <f>+'Anx I pg 1 oferta'!$B$18&amp;"T3_L04_inst_"&amp;B111&amp;"DA5"</f>
        <v>T3_L04_inst_L04-08DA5</v>
      </c>
      <c r="B115" s="350"/>
      <c r="C115" s="353"/>
      <c r="D115" s="356"/>
      <c r="E115" s="359"/>
      <c r="F115" s="362"/>
      <c r="G115" s="344"/>
      <c r="H115" s="213" t="s">
        <v>364</v>
      </c>
      <c r="I115" s="214">
        <v>0.5</v>
      </c>
      <c r="J115" s="215" t="e">
        <f>+IF($K$111&gt;0,+$K$111-SUM(J111:J114),"")</f>
        <v>#VALUE!</v>
      </c>
      <c r="K115" s="347"/>
      <c r="L115" s="202"/>
    </row>
    <row r="116" spans="1:12" ht="15.75" hidden="1" thickBot="1" x14ac:dyDescent="0.3">
      <c r="A116" s="147" t="s">
        <v>544</v>
      </c>
      <c r="B116" s="348"/>
      <c r="C116" s="351"/>
      <c r="D116" s="354"/>
      <c r="E116" s="357"/>
      <c r="F116" s="360"/>
      <c r="G116" s="342"/>
      <c r="H116" s="213"/>
      <c r="I116" s="214"/>
      <c r="J116" s="215"/>
      <c r="K116" s="345"/>
      <c r="L116" s="202"/>
    </row>
    <row r="117" spans="1:12" ht="15.75" hidden="1" thickBot="1" x14ac:dyDescent="0.3">
      <c r="A117" s="147" t="s">
        <v>544</v>
      </c>
      <c r="B117" s="349"/>
      <c r="C117" s="352"/>
      <c r="D117" s="355"/>
      <c r="E117" s="358"/>
      <c r="F117" s="361"/>
      <c r="G117" s="343"/>
      <c r="H117" s="213"/>
      <c r="I117" s="214"/>
      <c r="J117" s="215"/>
      <c r="K117" s="346"/>
      <c r="L117" s="202"/>
    </row>
    <row r="118" spans="1:12" ht="15.75" hidden="1" thickBot="1" x14ac:dyDescent="0.3">
      <c r="A118" s="147" t="s">
        <v>544</v>
      </c>
      <c r="B118" s="349"/>
      <c r="C118" s="352"/>
      <c r="D118" s="355"/>
      <c r="E118" s="358"/>
      <c r="F118" s="361"/>
      <c r="G118" s="343"/>
      <c r="H118" s="213"/>
      <c r="I118" s="214"/>
      <c r="J118" s="215"/>
      <c r="K118" s="346"/>
      <c r="L118" s="202"/>
    </row>
    <row r="119" spans="1:12" ht="15.75" hidden="1" thickBot="1" x14ac:dyDescent="0.3">
      <c r="A119" s="147" t="s">
        <v>544</v>
      </c>
      <c r="B119" s="349"/>
      <c r="C119" s="352"/>
      <c r="D119" s="355"/>
      <c r="E119" s="358"/>
      <c r="F119" s="361"/>
      <c r="G119" s="343"/>
      <c r="H119" s="213"/>
      <c r="I119" s="214"/>
      <c r="J119" s="215"/>
      <c r="K119" s="346"/>
      <c r="L119" s="202"/>
    </row>
    <row r="120" spans="1:12" ht="15.75" hidden="1" thickBot="1" x14ac:dyDescent="0.3">
      <c r="A120" s="147" t="s">
        <v>544</v>
      </c>
      <c r="B120" s="350"/>
      <c r="C120" s="353"/>
      <c r="D120" s="356"/>
      <c r="E120" s="359"/>
      <c r="F120" s="362"/>
      <c r="G120" s="344"/>
      <c r="H120" s="213"/>
      <c r="I120" s="214"/>
      <c r="J120" s="215"/>
      <c r="K120" s="347"/>
      <c r="L120" s="202"/>
    </row>
    <row r="121" spans="1:12" ht="15.75" hidden="1" thickBot="1" x14ac:dyDescent="0.3">
      <c r="A121" s="147" t="s">
        <v>544</v>
      </c>
      <c r="B121" s="348"/>
      <c r="C121" s="351"/>
      <c r="D121" s="354"/>
      <c r="E121" s="357"/>
      <c r="F121" s="360"/>
      <c r="G121" s="342"/>
      <c r="H121" s="213"/>
      <c r="I121" s="214"/>
      <c r="J121" s="215"/>
      <c r="K121" s="345"/>
      <c r="L121" s="202"/>
    </row>
    <row r="122" spans="1:12" ht="15.75" hidden="1" thickBot="1" x14ac:dyDescent="0.3">
      <c r="A122" s="147" t="s">
        <v>544</v>
      </c>
      <c r="B122" s="349"/>
      <c r="C122" s="352"/>
      <c r="D122" s="355"/>
      <c r="E122" s="358"/>
      <c r="F122" s="361"/>
      <c r="G122" s="343"/>
      <c r="H122" s="213"/>
      <c r="I122" s="214"/>
      <c r="J122" s="215"/>
      <c r="K122" s="346"/>
      <c r="L122" s="202"/>
    </row>
    <row r="123" spans="1:12" ht="15.75" hidden="1" thickBot="1" x14ac:dyDescent="0.3">
      <c r="A123" s="147" t="s">
        <v>544</v>
      </c>
      <c r="B123" s="349"/>
      <c r="C123" s="352"/>
      <c r="D123" s="355"/>
      <c r="E123" s="358"/>
      <c r="F123" s="361"/>
      <c r="G123" s="343"/>
      <c r="H123" s="213"/>
      <c r="I123" s="214"/>
      <c r="J123" s="215"/>
      <c r="K123" s="346"/>
      <c r="L123" s="202"/>
    </row>
    <row r="124" spans="1:12" ht="15.75" hidden="1" thickBot="1" x14ac:dyDescent="0.3">
      <c r="A124" s="147" t="s">
        <v>544</v>
      </c>
      <c r="B124" s="349"/>
      <c r="C124" s="352"/>
      <c r="D124" s="355"/>
      <c r="E124" s="358"/>
      <c r="F124" s="361"/>
      <c r="G124" s="343"/>
      <c r="H124" s="213"/>
      <c r="I124" s="214"/>
      <c r="J124" s="215"/>
      <c r="K124" s="346"/>
      <c r="L124" s="202"/>
    </row>
    <row r="125" spans="1:12" ht="15.75" hidden="1" thickBot="1" x14ac:dyDescent="0.3">
      <c r="A125" s="147" t="s">
        <v>544</v>
      </c>
      <c r="B125" s="350"/>
      <c r="C125" s="353"/>
      <c r="D125" s="356"/>
      <c r="E125" s="359"/>
      <c r="F125" s="362"/>
      <c r="G125" s="344"/>
      <c r="H125" s="213"/>
      <c r="I125" s="214"/>
      <c r="J125" s="215"/>
      <c r="K125" s="347"/>
      <c r="L125" s="202"/>
    </row>
    <row r="126" spans="1:12" ht="15.75" hidden="1" thickBot="1" x14ac:dyDescent="0.3">
      <c r="A126" s="147" t="s">
        <v>544</v>
      </c>
      <c r="B126" s="348"/>
      <c r="C126" s="351"/>
      <c r="D126" s="354"/>
      <c r="E126" s="357"/>
      <c r="F126" s="360"/>
      <c r="G126" s="342"/>
      <c r="H126" s="213"/>
      <c r="I126" s="214"/>
      <c r="J126" s="215"/>
      <c r="K126" s="345"/>
      <c r="L126" s="202"/>
    </row>
    <row r="127" spans="1:12" ht="15.75" hidden="1" thickBot="1" x14ac:dyDescent="0.3">
      <c r="A127" s="147" t="s">
        <v>544</v>
      </c>
      <c r="B127" s="349"/>
      <c r="C127" s="352"/>
      <c r="D127" s="355"/>
      <c r="E127" s="358"/>
      <c r="F127" s="361"/>
      <c r="G127" s="343"/>
      <c r="H127" s="213"/>
      <c r="I127" s="214"/>
      <c r="J127" s="215"/>
      <c r="K127" s="346"/>
      <c r="L127" s="202"/>
    </row>
    <row r="128" spans="1:12" ht="15.75" hidden="1" thickBot="1" x14ac:dyDescent="0.3">
      <c r="A128" s="147" t="s">
        <v>544</v>
      </c>
      <c r="B128" s="349"/>
      <c r="C128" s="352"/>
      <c r="D128" s="355"/>
      <c r="E128" s="358"/>
      <c r="F128" s="361"/>
      <c r="G128" s="343"/>
      <c r="H128" s="213"/>
      <c r="I128" s="214"/>
      <c r="J128" s="215"/>
      <c r="K128" s="346"/>
      <c r="L128" s="202"/>
    </row>
    <row r="129" spans="1:12" ht="15.75" hidden="1" thickBot="1" x14ac:dyDescent="0.3">
      <c r="A129" s="147" t="s">
        <v>544</v>
      </c>
      <c r="B129" s="349"/>
      <c r="C129" s="352"/>
      <c r="D129" s="355"/>
      <c r="E129" s="358"/>
      <c r="F129" s="361"/>
      <c r="G129" s="343"/>
      <c r="H129" s="213"/>
      <c r="I129" s="214"/>
      <c r="J129" s="215"/>
      <c r="K129" s="346"/>
      <c r="L129" s="202"/>
    </row>
    <row r="130" spans="1:12" ht="15.75" hidden="1" thickBot="1" x14ac:dyDescent="0.3">
      <c r="A130" s="147" t="s">
        <v>544</v>
      </c>
      <c r="B130" s="350"/>
      <c r="C130" s="353"/>
      <c r="D130" s="356"/>
      <c r="E130" s="359"/>
      <c r="F130" s="362"/>
      <c r="G130" s="344"/>
      <c r="H130" s="213"/>
      <c r="I130" s="214"/>
      <c r="J130" s="215"/>
      <c r="K130" s="347"/>
      <c r="L130" s="202"/>
    </row>
    <row r="131" spans="1:12" ht="15.75" hidden="1" customHeight="1" thickBot="1" x14ac:dyDescent="0.3">
      <c r="A131" s="147" t="s">
        <v>544</v>
      </c>
      <c r="B131" s="348"/>
      <c r="C131" s="351"/>
      <c r="D131" s="354"/>
      <c r="E131" s="357"/>
      <c r="F131" s="360"/>
      <c r="G131" s="342"/>
      <c r="H131" s="213"/>
      <c r="I131" s="214"/>
      <c r="J131" s="215"/>
      <c r="K131" s="345"/>
      <c r="L131" s="202"/>
    </row>
    <row r="132" spans="1:12" ht="15.75" hidden="1" thickBot="1" x14ac:dyDescent="0.3">
      <c r="A132" s="147" t="s">
        <v>544</v>
      </c>
      <c r="B132" s="349"/>
      <c r="C132" s="352"/>
      <c r="D132" s="355"/>
      <c r="E132" s="358"/>
      <c r="F132" s="361"/>
      <c r="G132" s="343"/>
      <c r="H132" s="213"/>
      <c r="I132" s="214"/>
      <c r="J132" s="215"/>
      <c r="K132" s="346"/>
      <c r="L132" s="202"/>
    </row>
    <row r="133" spans="1:12" ht="15.75" hidden="1" thickBot="1" x14ac:dyDescent="0.3">
      <c r="A133" s="147" t="s">
        <v>544</v>
      </c>
      <c r="B133" s="349"/>
      <c r="C133" s="352"/>
      <c r="D133" s="355"/>
      <c r="E133" s="358"/>
      <c r="F133" s="361"/>
      <c r="G133" s="343"/>
      <c r="H133" s="213"/>
      <c r="I133" s="214"/>
      <c r="J133" s="215"/>
      <c r="K133" s="346"/>
      <c r="L133" s="202"/>
    </row>
    <row r="134" spans="1:12" ht="15.75" hidden="1" thickBot="1" x14ac:dyDescent="0.3">
      <c r="A134" s="147" t="s">
        <v>544</v>
      </c>
      <c r="B134" s="349"/>
      <c r="C134" s="352"/>
      <c r="D134" s="355"/>
      <c r="E134" s="358"/>
      <c r="F134" s="361"/>
      <c r="G134" s="343"/>
      <c r="H134" s="213"/>
      <c r="I134" s="214"/>
      <c r="J134" s="215"/>
      <c r="K134" s="346"/>
      <c r="L134" s="202"/>
    </row>
    <row r="135" spans="1:12" ht="15.75" hidden="1" thickBot="1" x14ac:dyDescent="0.3">
      <c r="A135" s="147" t="s">
        <v>544</v>
      </c>
      <c r="B135" s="350"/>
      <c r="C135" s="353"/>
      <c r="D135" s="356"/>
      <c r="E135" s="359"/>
      <c r="F135" s="362"/>
      <c r="G135" s="344"/>
      <c r="H135" s="213"/>
      <c r="I135" s="214"/>
      <c r="J135" s="215"/>
      <c r="K135" s="347"/>
      <c r="L135" s="202"/>
    </row>
    <row r="136" spans="1:12" ht="15.75" hidden="1" thickBot="1" x14ac:dyDescent="0.3">
      <c r="A136" s="147" t="s">
        <v>544</v>
      </c>
      <c r="B136" s="348"/>
      <c r="C136" s="351"/>
      <c r="D136" s="354"/>
      <c r="E136" s="357"/>
      <c r="F136" s="360"/>
      <c r="G136" s="342"/>
      <c r="H136" s="213"/>
      <c r="I136" s="214"/>
      <c r="J136" s="215"/>
      <c r="K136" s="345"/>
      <c r="L136" s="202"/>
    </row>
    <row r="137" spans="1:12" ht="15.75" hidden="1" thickBot="1" x14ac:dyDescent="0.3">
      <c r="A137" s="147" t="s">
        <v>544</v>
      </c>
      <c r="B137" s="349"/>
      <c r="C137" s="352"/>
      <c r="D137" s="355"/>
      <c r="E137" s="358"/>
      <c r="F137" s="361"/>
      <c r="G137" s="343"/>
      <c r="H137" s="213"/>
      <c r="I137" s="214"/>
      <c r="J137" s="215"/>
      <c r="K137" s="346"/>
      <c r="L137" s="202"/>
    </row>
    <row r="138" spans="1:12" ht="15.75" hidden="1" thickBot="1" x14ac:dyDescent="0.3">
      <c r="A138" s="147" t="s">
        <v>544</v>
      </c>
      <c r="B138" s="349"/>
      <c r="C138" s="352"/>
      <c r="D138" s="355"/>
      <c r="E138" s="358"/>
      <c r="F138" s="361"/>
      <c r="G138" s="343"/>
      <c r="H138" s="213"/>
      <c r="I138" s="214"/>
      <c r="J138" s="215"/>
      <c r="K138" s="346"/>
      <c r="L138" s="202"/>
    </row>
    <row r="139" spans="1:12" ht="15.75" hidden="1" thickBot="1" x14ac:dyDescent="0.3">
      <c r="A139" s="147" t="s">
        <v>544</v>
      </c>
      <c r="B139" s="349"/>
      <c r="C139" s="352"/>
      <c r="D139" s="355"/>
      <c r="E139" s="358"/>
      <c r="F139" s="361"/>
      <c r="G139" s="343"/>
      <c r="H139" s="213"/>
      <c r="I139" s="214"/>
      <c r="J139" s="215"/>
      <c r="K139" s="346"/>
      <c r="L139" s="202"/>
    </row>
    <row r="140" spans="1:12" ht="15.75" hidden="1" thickBot="1" x14ac:dyDescent="0.3">
      <c r="A140" s="147" t="s">
        <v>544</v>
      </c>
      <c r="B140" s="350"/>
      <c r="C140" s="353"/>
      <c r="D140" s="356"/>
      <c r="E140" s="359"/>
      <c r="F140" s="362"/>
      <c r="G140" s="344"/>
      <c r="H140" s="213"/>
      <c r="I140" s="214"/>
      <c r="J140" s="215"/>
      <c r="K140" s="347"/>
      <c r="L140" s="202"/>
    </row>
    <row r="141" spans="1:12" ht="15.75" hidden="1" thickBot="1" x14ac:dyDescent="0.3">
      <c r="A141" s="147" t="s">
        <v>544</v>
      </c>
      <c r="B141" s="348"/>
      <c r="C141" s="351"/>
      <c r="D141" s="354"/>
      <c r="E141" s="357"/>
      <c r="F141" s="360"/>
      <c r="G141" s="342"/>
      <c r="H141" s="213"/>
      <c r="I141" s="214"/>
      <c r="J141" s="215"/>
      <c r="K141" s="345"/>
      <c r="L141" s="202"/>
    </row>
    <row r="142" spans="1:12" ht="15.75" hidden="1" thickBot="1" x14ac:dyDescent="0.3">
      <c r="A142" s="147" t="s">
        <v>544</v>
      </c>
      <c r="B142" s="349"/>
      <c r="C142" s="352"/>
      <c r="D142" s="355"/>
      <c r="E142" s="358"/>
      <c r="F142" s="361"/>
      <c r="G142" s="343"/>
      <c r="H142" s="213"/>
      <c r="I142" s="214"/>
      <c r="J142" s="215"/>
      <c r="K142" s="346"/>
      <c r="L142" s="202"/>
    </row>
    <row r="143" spans="1:12" ht="15.75" hidden="1" thickBot="1" x14ac:dyDescent="0.3">
      <c r="A143" s="147" t="s">
        <v>544</v>
      </c>
      <c r="B143" s="349"/>
      <c r="C143" s="352"/>
      <c r="D143" s="355"/>
      <c r="E143" s="358"/>
      <c r="F143" s="361"/>
      <c r="G143" s="343"/>
      <c r="H143" s="213"/>
      <c r="I143" s="214"/>
      <c r="J143" s="215"/>
      <c r="K143" s="346"/>
      <c r="L143" s="202"/>
    </row>
    <row r="144" spans="1:12" ht="15.75" hidden="1" thickBot="1" x14ac:dyDescent="0.3">
      <c r="A144" s="147" t="s">
        <v>544</v>
      </c>
      <c r="B144" s="349"/>
      <c r="C144" s="352"/>
      <c r="D144" s="355"/>
      <c r="E144" s="358"/>
      <c r="F144" s="361"/>
      <c r="G144" s="343"/>
      <c r="H144" s="213"/>
      <c r="I144" s="214"/>
      <c r="J144" s="215"/>
      <c r="K144" s="346"/>
      <c r="L144" s="202"/>
    </row>
    <row r="145" spans="1:12" ht="15.75" hidden="1" thickBot="1" x14ac:dyDescent="0.3">
      <c r="A145" s="147" t="s">
        <v>544</v>
      </c>
      <c r="B145" s="350"/>
      <c r="C145" s="353"/>
      <c r="D145" s="356"/>
      <c r="E145" s="359"/>
      <c r="F145" s="362"/>
      <c r="G145" s="344"/>
      <c r="H145" s="213"/>
      <c r="I145" s="214"/>
      <c r="J145" s="215"/>
      <c r="K145" s="347"/>
      <c r="L145" s="202"/>
    </row>
    <row r="146" spans="1:12" ht="15.75" hidden="1" thickBot="1" x14ac:dyDescent="0.3">
      <c r="A146" s="147" t="s">
        <v>544</v>
      </c>
      <c r="B146" s="348"/>
      <c r="C146" s="351"/>
      <c r="D146" s="354"/>
      <c r="E146" s="357"/>
      <c r="F146" s="360"/>
      <c r="G146" s="342"/>
      <c r="H146" s="213"/>
      <c r="I146" s="214"/>
      <c r="J146" s="215"/>
      <c r="K146" s="345"/>
      <c r="L146" s="202"/>
    </row>
    <row r="147" spans="1:12" ht="15.75" hidden="1" thickBot="1" x14ac:dyDescent="0.3">
      <c r="A147" s="147" t="s">
        <v>544</v>
      </c>
      <c r="B147" s="349"/>
      <c r="C147" s="352"/>
      <c r="D147" s="355"/>
      <c r="E147" s="358"/>
      <c r="F147" s="361"/>
      <c r="G147" s="343"/>
      <c r="H147" s="213"/>
      <c r="I147" s="214"/>
      <c r="J147" s="215"/>
      <c r="K147" s="346"/>
      <c r="L147" s="202"/>
    </row>
    <row r="148" spans="1:12" ht="15.75" hidden="1" thickBot="1" x14ac:dyDescent="0.3">
      <c r="A148" s="147" t="s">
        <v>544</v>
      </c>
      <c r="B148" s="349"/>
      <c r="C148" s="352"/>
      <c r="D148" s="355"/>
      <c r="E148" s="358"/>
      <c r="F148" s="361"/>
      <c r="G148" s="343"/>
      <c r="H148" s="213"/>
      <c r="I148" s="214"/>
      <c r="J148" s="215"/>
      <c r="K148" s="346"/>
      <c r="L148" s="202"/>
    </row>
    <row r="149" spans="1:12" ht="15.75" hidden="1" thickBot="1" x14ac:dyDescent="0.3">
      <c r="A149" s="147" t="s">
        <v>544</v>
      </c>
      <c r="B149" s="349"/>
      <c r="C149" s="352"/>
      <c r="D149" s="355"/>
      <c r="E149" s="358"/>
      <c r="F149" s="361"/>
      <c r="G149" s="343"/>
      <c r="H149" s="213"/>
      <c r="I149" s="214"/>
      <c r="J149" s="215"/>
      <c r="K149" s="346"/>
      <c r="L149" s="202"/>
    </row>
    <row r="150" spans="1:12" ht="15.75" hidden="1" thickBot="1" x14ac:dyDescent="0.3">
      <c r="A150" s="147" t="s">
        <v>544</v>
      </c>
      <c r="B150" s="350"/>
      <c r="C150" s="353"/>
      <c r="D150" s="356"/>
      <c r="E150" s="359"/>
      <c r="F150" s="362"/>
      <c r="G150" s="344"/>
      <c r="H150" s="213"/>
      <c r="I150" s="214"/>
      <c r="J150" s="215"/>
      <c r="K150" s="347"/>
      <c r="L150" s="202"/>
    </row>
    <row r="151" spans="1:12" ht="15.75" hidden="1" thickBot="1" x14ac:dyDescent="0.3">
      <c r="A151" s="147" t="s">
        <v>544</v>
      </c>
      <c r="B151" s="348"/>
      <c r="C151" s="351"/>
      <c r="D151" s="354"/>
      <c r="E151" s="357"/>
      <c r="F151" s="360"/>
      <c r="G151" s="342"/>
      <c r="H151" s="213"/>
      <c r="I151" s="214"/>
      <c r="J151" s="215"/>
      <c r="K151" s="345"/>
      <c r="L151" s="202"/>
    </row>
    <row r="152" spans="1:12" ht="15.75" hidden="1" thickBot="1" x14ac:dyDescent="0.3">
      <c r="A152" s="147" t="s">
        <v>544</v>
      </c>
      <c r="B152" s="349"/>
      <c r="C152" s="352"/>
      <c r="D152" s="355"/>
      <c r="E152" s="358"/>
      <c r="F152" s="361"/>
      <c r="G152" s="343"/>
      <c r="H152" s="213"/>
      <c r="I152" s="214"/>
      <c r="J152" s="215"/>
      <c r="K152" s="346"/>
      <c r="L152" s="202"/>
    </row>
    <row r="153" spans="1:12" ht="15.75" hidden="1" thickBot="1" x14ac:dyDescent="0.3">
      <c r="A153" s="147" t="s">
        <v>544</v>
      </c>
      <c r="B153" s="349"/>
      <c r="C153" s="352"/>
      <c r="D153" s="355"/>
      <c r="E153" s="358"/>
      <c r="F153" s="361"/>
      <c r="G153" s="343"/>
      <c r="H153" s="213"/>
      <c r="I153" s="214"/>
      <c r="J153" s="215"/>
      <c r="K153" s="346"/>
      <c r="L153" s="202"/>
    </row>
    <row r="154" spans="1:12" ht="15.75" hidden="1" thickBot="1" x14ac:dyDescent="0.3">
      <c r="A154" s="147" t="s">
        <v>544</v>
      </c>
      <c r="B154" s="349"/>
      <c r="C154" s="352"/>
      <c r="D154" s="355"/>
      <c r="E154" s="358"/>
      <c r="F154" s="361"/>
      <c r="G154" s="343"/>
      <c r="H154" s="213"/>
      <c r="I154" s="214"/>
      <c r="J154" s="215"/>
      <c r="K154" s="346"/>
      <c r="L154" s="202"/>
    </row>
    <row r="155" spans="1:12" ht="15.75" hidden="1" thickBot="1" x14ac:dyDescent="0.3">
      <c r="A155" s="147" t="s">
        <v>544</v>
      </c>
      <c r="B155" s="350"/>
      <c r="C155" s="353"/>
      <c r="D155" s="356"/>
      <c r="E155" s="359"/>
      <c r="F155" s="362"/>
      <c r="G155" s="344"/>
      <c r="H155" s="213"/>
      <c r="I155" s="214"/>
      <c r="J155" s="215"/>
      <c r="K155" s="347"/>
      <c r="L155" s="202"/>
    </row>
    <row r="156" spans="1:12" ht="15.75" hidden="1" customHeight="1" thickBot="1" x14ac:dyDescent="0.3">
      <c r="A156" s="147" t="s">
        <v>544</v>
      </c>
      <c r="B156" s="348"/>
      <c r="C156" s="351"/>
      <c r="D156" s="354"/>
      <c r="E156" s="357"/>
      <c r="F156" s="360"/>
      <c r="G156" s="342"/>
      <c r="H156" s="213"/>
      <c r="I156" s="214"/>
      <c r="J156" s="215"/>
      <c r="K156" s="345"/>
      <c r="L156" s="202"/>
    </row>
    <row r="157" spans="1:12" ht="15.75" hidden="1" thickBot="1" x14ac:dyDescent="0.3">
      <c r="A157" s="147" t="s">
        <v>544</v>
      </c>
      <c r="B157" s="349"/>
      <c r="C157" s="352"/>
      <c r="D157" s="355"/>
      <c r="E157" s="358"/>
      <c r="F157" s="361"/>
      <c r="G157" s="343"/>
      <c r="H157" s="213"/>
      <c r="I157" s="214"/>
      <c r="J157" s="215"/>
      <c r="K157" s="346"/>
      <c r="L157" s="202"/>
    </row>
    <row r="158" spans="1:12" ht="15.75" hidden="1" thickBot="1" x14ac:dyDescent="0.3">
      <c r="A158" s="147" t="s">
        <v>544</v>
      </c>
      <c r="B158" s="349"/>
      <c r="C158" s="352"/>
      <c r="D158" s="355"/>
      <c r="E158" s="358"/>
      <c r="F158" s="361"/>
      <c r="G158" s="343"/>
      <c r="H158" s="213"/>
      <c r="I158" s="214"/>
      <c r="J158" s="215"/>
      <c r="K158" s="346"/>
      <c r="L158" s="202"/>
    </row>
    <row r="159" spans="1:12" ht="15.75" hidden="1" thickBot="1" x14ac:dyDescent="0.3">
      <c r="A159" s="147" t="s">
        <v>544</v>
      </c>
      <c r="B159" s="349"/>
      <c r="C159" s="352"/>
      <c r="D159" s="355"/>
      <c r="E159" s="358"/>
      <c r="F159" s="361"/>
      <c r="G159" s="343"/>
      <c r="H159" s="213"/>
      <c r="I159" s="214"/>
      <c r="J159" s="215"/>
      <c r="K159" s="346"/>
      <c r="L159" s="202"/>
    </row>
    <row r="160" spans="1:12" ht="15.75" hidden="1" thickBot="1" x14ac:dyDescent="0.3">
      <c r="A160" s="147" t="s">
        <v>544</v>
      </c>
      <c r="B160" s="350"/>
      <c r="C160" s="353"/>
      <c r="D160" s="356"/>
      <c r="E160" s="359"/>
      <c r="F160" s="362"/>
      <c r="G160" s="344"/>
      <c r="H160" s="213"/>
      <c r="I160" s="214"/>
      <c r="J160" s="215"/>
      <c r="K160" s="347"/>
      <c r="L160" s="202"/>
    </row>
    <row r="161" spans="1:12" ht="15.75" hidden="1" thickBot="1" x14ac:dyDescent="0.3">
      <c r="A161" s="147" t="s">
        <v>544</v>
      </c>
      <c r="B161" s="348"/>
      <c r="C161" s="351"/>
      <c r="D161" s="354"/>
      <c r="E161" s="357"/>
      <c r="F161" s="360"/>
      <c r="G161" s="342"/>
      <c r="H161" s="213"/>
      <c r="I161" s="214"/>
      <c r="J161" s="215"/>
      <c r="K161" s="345"/>
      <c r="L161" s="202"/>
    </row>
    <row r="162" spans="1:12" ht="15.75" hidden="1" thickBot="1" x14ac:dyDescent="0.3">
      <c r="A162" s="147" t="s">
        <v>544</v>
      </c>
      <c r="B162" s="349"/>
      <c r="C162" s="352"/>
      <c r="D162" s="355"/>
      <c r="E162" s="358"/>
      <c r="F162" s="361"/>
      <c r="G162" s="343"/>
      <c r="H162" s="213"/>
      <c r="I162" s="214"/>
      <c r="J162" s="215"/>
      <c r="K162" s="346"/>
      <c r="L162" s="202"/>
    </row>
    <row r="163" spans="1:12" ht="15.75" hidden="1" thickBot="1" x14ac:dyDescent="0.3">
      <c r="A163" s="147" t="s">
        <v>544</v>
      </c>
      <c r="B163" s="349"/>
      <c r="C163" s="352"/>
      <c r="D163" s="355"/>
      <c r="E163" s="358"/>
      <c r="F163" s="361"/>
      <c r="G163" s="343"/>
      <c r="H163" s="213"/>
      <c r="I163" s="214"/>
      <c r="J163" s="215"/>
      <c r="K163" s="346"/>
      <c r="L163" s="202"/>
    </row>
    <row r="164" spans="1:12" ht="15.75" hidden="1" thickBot="1" x14ac:dyDescent="0.3">
      <c r="A164" s="147" t="s">
        <v>544</v>
      </c>
      <c r="B164" s="349"/>
      <c r="C164" s="352"/>
      <c r="D164" s="355"/>
      <c r="E164" s="358"/>
      <c r="F164" s="361"/>
      <c r="G164" s="343"/>
      <c r="H164" s="213"/>
      <c r="I164" s="214"/>
      <c r="J164" s="215"/>
      <c r="K164" s="346"/>
      <c r="L164" s="202"/>
    </row>
    <row r="165" spans="1:12" ht="15.75" hidden="1" thickBot="1" x14ac:dyDescent="0.3">
      <c r="A165" s="147" t="s">
        <v>544</v>
      </c>
      <c r="B165" s="350"/>
      <c r="C165" s="353"/>
      <c r="D165" s="356"/>
      <c r="E165" s="359"/>
      <c r="F165" s="362"/>
      <c r="G165" s="344"/>
      <c r="H165" s="213"/>
      <c r="I165" s="214"/>
      <c r="J165" s="215"/>
      <c r="K165" s="347"/>
      <c r="L165" s="202"/>
    </row>
    <row r="166" spans="1:12" x14ac:dyDescent="0.25">
      <c r="A166" s="147" t="str">
        <f>+'Anx I pg 1 oferta'!$B$18&amp;"T3_L04_TOT"</f>
        <v>T3_L04_TOT</v>
      </c>
      <c r="B166" s="278" t="s">
        <v>390</v>
      </c>
      <c r="C166" s="122"/>
      <c r="D166" s="122"/>
      <c r="E166" s="122"/>
      <c r="F166" s="285">
        <f>SUM(F76:F165)</f>
        <v>0.99999999999999989</v>
      </c>
      <c r="G166" s="285">
        <f>SUM(G76:G165)</f>
        <v>0</v>
      </c>
      <c r="H166" s="122"/>
      <c r="I166" s="122"/>
      <c r="J166" s="287" t="e">
        <f>SUM(J76:J165)</f>
        <v>#VALUE!</v>
      </c>
      <c r="K166" s="287">
        <f>SUM(K76:K165)</f>
        <v>0</v>
      </c>
    </row>
    <row r="167" spans="1:12" x14ac:dyDescent="0.25">
      <c r="A167" s="147" t="s">
        <v>544</v>
      </c>
      <c r="B167" s="122" t="s">
        <v>390</v>
      </c>
      <c r="C167" s="122"/>
      <c r="D167" s="122"/>
      <c r="E167" s="122"/>
      <c r="F167" s="122"/>
      <c r="G167" s="122"/>
      <c r="H167" s="122"/>
      <c r="I167" s="122"/>
      <c r="J167" s="122"/>
      <c r="K167" s="122"/>
    </row>
    <row r="168" spans="1:12" x14ac:dyDescent="0.25">
      <c r="A168" s="147" t="s">
        <v>544</v>
      </c>
      <c r="B168" s="122" t="s">
        <v>390</v>
      </c>
      <c r="C168" s="122"/>
      <c r="D168" s="122"/>
      <c r="E168" s="122"/>
      <c r="F168" s="122"/>
      <c r="G168" s="122"/>
      <c r="H168" s="122"/>
      <c r="I168" s="122"/>
      <c r="J168" s="122"/>
      <c r="K168" s="122"/>
    </row>
    <row r="169" spans="1:12" x14ac:dyDescent="0.25">
      <c r="A169" s="122" t="s">
        <v>542</v>
      </c>
      <c r="B169" s="122" t="s">
        <v>390</v>
      </c>
      <c r="C169" s="122"/>
      <c r="D169" s="122"/>
      <c r="E169" s="122"/>
      <c r="F169" s="122"/>
      <c r="G169" s="122"/>
      <c r="H169" s="122"/>
      <c r="I169" s="122" t="s">
        <v>372</v>
      </c>
      <c r="J169" s="284" t="e">
        <f>+J76+J81+J86+J91+J96+J101+J106+J111+J116+J121+J126+J131+J136+J141+J146+J151+J156+J161</f>
        <v>#VALUE!</v>
      </c>
      <c r="K169" s="122"/>
    </row>
    <row r="170" spans="1:12" x14ac:dyDescent="0.25">
      <c r="A170" s="122" t="s">
        <v>542</v>
      </c>
      <c r="B170" s="122" t="s">
        <v>390</v>
      </c>
      <c r="C170" s="122"/>
      <c r="D170" s="122"/>
      <c r="E170" s="122"/>
      <c r="F170" s="122"/>
      <c r="G170" s="122"/>
      <c r="H170" s="122"/>
      <c r="I170" s="122" t="s">
        <v>374</v>
      </c>
      <c r="J170" s="284" t="e">
        <f t="shared" ref="J170:J173" si="8">+J77+J82+J87+J92+J97+J102+J107+J112+J117+J122+J127+J132+J137+J142+J147+J152+J157+J162</f>
        <v>#VALUE!</v>
      </c>
      <c r="K170" s="122"/>
    </row>
    <row r="171" spans="1:12" x14ac:dyDescent="0.25">
      <c r="A171" s="122" t="s">
        <v>542</v>
      </c>
      <c r="B171" s="122" t="s">
        <v>390</v>
      </c>
      <c r="C171" s="122"/>
      <c r="D171" s="122"/>
      <c r="E171" s="122"/>
      <c r="F171" s="122"/>
      <c r="G171" s="122"/>
      <c r="H171" s="122"/>
      <c r="I171" s="122" t="s">
        <v>373</v>
      </c>
      <c r="J171" s="284" t="e">
        <f t="shared" si="8"/>
        <v>#VALUE!</v>
      </c>
      <c r="K171" s="122"/>
    </row>
    <row r="172" spans="1:12" x14ac:dyDescent="0.25">
      <c r="A172" s="122" t="s">
        <v>542</v>
      </c>
      <c r="B172" s="122" t="s">
        <v>390</v>
      </c>
      <c r="C172" s="122"/>
      <c r="D172" s="122"/>
      <c r="E172" s="122"/>
      <c r="F172" s="122"/>
      <c r="G172" s="122"/>
      <c r="H172" s="122"/>
      <c r="I172" s="122" t="s">
        <v>375</v>
      </c>
      <c r="J172" s="284" t="e">
        <f t="shared" si="8"/>
        <v>#VALUE!</v>
      </c>
      <c r="K172" s="122"/>
    </row>
    <row r="173" spans="1:12" x14ac:dyDescent="0.25">
      <c r="A173" s="122" t="s">
        <v>542</v>
      </c>
      <c r="B173" s="122" t="s">
        <v>390</v>
      </c>
      <c r="C173" s="122"/>
      <c r="D173" s="122"/>
      <c r="E173" s="122"/>
      <c r="F173" s="122"/>
      <c r="G173" s="122"/>
      <c r="H173" s="122"/>
      <c r="I173" s="122" t="s">
        <v>376</v>
      </c>
      <c r="J173" s="284" t="e">
        <f t="shared" si="8"/>
        <v>#VALUE!</v>
      </c>
      <c r="K173" s="122"/>
    </row>
    <row r="174" spans="1:12" x14ac:dyDescent="0.25">
      <c r="A174" s="122" t="s">
        <v>542</v>
      </c>
      <c r="B174" s="122" t="s">
        <v>390</v>
      </c>
      <c r="C174" s="122"/>
      <c r="D174" s="122"/>
      <c r="E174" s="122"/>
      <c r="F174" s="122"/>
      <c r="G174" s="122"/>
      <c r="H174" s="122"/>
      <c r="I174" s="122" t="s">
        <v>371</v>
      </c>
      <c r="J174" s="284" t="e">
        <f>SUM(J169:J173)</f>
        <v>#VALUE!</v>
      </c>
      <c r="K174" s="122"/>
    </row>
  </sheetData>
  <sheetProtection algorithmName="SHA-512" hashValue="zcdhW/7fM4L8l0WV6+elP+mFj07Hn0m9EBIqdDsup4qvEI3JIWvFudR8pRJ/y2BpQXYGIExYNHdLSXqwwjroaQ==" saltValue="zMw++fI5Qx+EzWgln57/wA==" spinCount="100000" sheet="1" objects="1" scenarios="1" selectLockedCells="1"/>
  <mergeCells count="135">
    <mergeCell ref="B151:B155"/>
    <mergeCell ref="C151:C155"/>
    <mergeCell ref="D151:D155"/>
    <mergeCell ref="E151:E155"/>
    <mergeCell ref="F151:F155"/>
    <mergeCell ref="G151:G155"/>
    <mergeCell ref="K151:K155"/>
    <mergeCell ref="G156:G160"/>
    <mergeCell ref="K156:K160"/>
    <mergeCell ref="B161:B165"/>
    <mergeCell ref="C161:C165"/>
    <mergeCell ref="D161:D165"/>
    <mergeCell ref="E161:E165"/>
    <mergeCell ref="F161:F165"/>
    <mergeCell ref="G161:G165"/>
    <mergeCell ref="K161:K165"/>
    <mergeCell ref="B156:B160"/>
    <mergeCell ref="C156:C160"/>
    <mergeCell ref="D156:D160"/>
    <mergeCell ref="E156:E160"/>
    <mergeCell ref="F156:F160"/>
    <mergeCell ref="B146:B150"/>
    <mergeCell ref="C146:C150"/>
    <mergeCell ref="D146:D150"/>
    <mergeCell ref="E146:E150"/>
    <mergeCell ref="F146:F150"/>
    <mergeCell ref="G136:G140"/>
    <mergeCell ref="K136:K140"/>
    <mergeCell ref="B141:B145"/>
    <mergeCell ref="C141:C145"/>
    <mergeCell ref="D141:D145"/>
    <mergeCell ref="E141:E145"/>
    <mergeCell ref="F141:F145"/>
    <mergeCell ref="G141:G145"/>
    <mergeCell ref="K141:K145"/>
    <mergeCell ref="B136:B140"/>
    <mergeCell ref="C136:C140"/>
    <mergeCell ref="D136:D140"/>
    <mergeCell ref="E136:E140"/>
    <mergeCell ref="F136:F140"/>
    <mergeCell ref="G146:G150"/>
    <mergeCell ref="K146:K150"/>
    <mergeCell ref="G126:G130"/>
    <mergeCell ref="K126:K130"/>
    <mergeCell ref="B131:B135"/>
    <mergeCell ref="C131:C135"/>
    <mergeCell ref="D131:D135"/>
    <mergeCell ref="E131:E135"/>
    <mergeCell ref="F131:F135"/>
    <mergeCell ref="G131:G135"/>
    <mergeCell ref="K131:K135"/>
    <mergeCell ref="B126:B130"/>
    <mergeCell ref="C126:C130"/>
    <mergeCell ref="D126:D130"/>
    <mergeCell ref="E126:E130"/>
    <mergeCell ref="F126:F130"/>
    <mergeCell ref="G116:G120"/>
    <mergeCell ref="K116:K120"/>
    <mergeCell ref="B121:B125"/>
    <mergeCell ref="C121:C125"/>
    <mergeCell ref="D121:D125"/>
    <mergeCell ref="E121:E125"/>
    <mergeCell ref="F121:F125"/>
    <mergeCell ref="G121:G125"/>
    <mergeCell ref="K121:K125"/>
    <mergeCell ref="B116:B120"/>
    <mergeCell ref="C116:C120"/>
    <mergeCell ref="D116:D120"/>
    <mergeCell ref="E116:E120"/>
    <mergeCell ref="F116:F120"/>
    <mergeCell ref="G106:G110"/>
    <mergeCell ref="K106:K110"/>
    <mergeCell ref="B111:B115"/>
    <mergeCell ref="C111:C115"/>
    <mergeCell ref="D111:D115"/>
    <mergeCell ref="E111:E115"/>
    <mergeCell ref="F111:F115"/>
    <mergeCell ref="G111:G115"/>
    <mergeCell ref="K111:K115"/>
    <mergeCell ref="B106:B110"/>
    <mergeCell ref="C106:C110"/>
    <mergeCell ref="D106:D110"/>
    <mergeCell ref="E106:E110"/>
    <mergeCell ref="F106:F110"/>
    <mergeCell ref="G96:G100"/>
    <mergeCell ref="K96:K100"/>
    <mergeCell ref="B101:B105"/>
    <mergeCell ref="C101:C105"/>
    <mergeCell ref="D101:D105"/>
    <mergeCell ref="E101:E105"/>
    <mergeCell ref="F101:F105"/>
    <mergeCell ref="G101:G105"/>
    <mergeCell ref="K101:K105"/>
    <mergeCell ref="B96:B100"/>
    <mergeCell ref="C96:C100"/>
    <mergeCell ref="D96:D100"/>
    <mergeCell ref="E96:E100"/>
    <mergeCell ref="F96:F100"/>
    <mergeCell ref="G86:G90"/>
    <mergeCell ref="K86:K90"/>
    <mergeCell ref="B91:B95"/>
    <mergeCell ref="C91:C95"/>
    <mergeCell ref="D91:D95"/>
    <mergeCell ref="E91:E95"/>
    <mergeCell ref="F91:F95"/>
    <mergeCell ref="G91:G95"/>
    <mergeCell ref="K91:K95"/>
    <mergeCell ref="B86:B90"/>
    <mergeCell ref="C86:C90"/>
    <mergeCell ref="D86:D90"/>
    <mergeCell ref="E86:E90"/>
    <mergeCell ref="F86:F90"/>
    <mergeCell ref="B81:B85"/>
    <mergeCell ref="C81:C85"/>
    <mergeCell ref="D81:D85"/>
    <mergeCell ref="E81:E85"/>
    <mergeCell ref="F81:F85"/>
    <mergeCell ref="G81:G85"/>
    <mergeCell ref="K81:K85"/>
    <mergeCell ref="B76:B80"/>
    <mergeCell ref="C76:C80"/>
    <mergeCell ref="D76:D80"/>
    <mergeCell ref="E76:E80"/>
    <mergeCell ref="F76:F80"/>
    <mergeCell ref="B2:K2"/>
    <mergeCell ref="B8:G8"/>
    <mergeCell ref="C12:F12"/>
    <mergeCell ref="C13:F13"/>
    <mergeCell ref="C14:F14"/>
    <mergeCell ref="C15:F15"/>
    <mergeCell ref="C16:F16"/>
    <mergeCell ref="C17:F17"/>
    <mergeCell ref="G76:G80"/>
    <mergeCell ref="K76:K80"/>
    <mergeCell ref="D20:G20"/>
  </mergeCells>
  <conditionalFormatting sqref="G18">
    <cfRule type="expression" dxfId="110" priority="16">
      <formula>$H$37&lt;0</formula>
    </cfRule>
  </conditionalFormatting>
  <conditionalFormatting sqref="H31 H33 H35">
    <cfRule type="expression" dxfId="109" priority="17">
      <formula>$H$37&lt;0</formula>
    </cfRule>
    <cfRule type="expression" dxfId="108" priority="18">
      <formula>$H$37&gt;0</formula>
    </cfRule>
  </conditionalFormatting>
  <conditionalFormatting sqref="J64 N64 J29:N63">
    <cfRule type="expression" dxfId="107" priority="15">
      <formula>"""ok"""</formula>
    </cfRule>
  </conditionalFormatting>
  <conditionalFormatting sqref="H41 H43 H45">
    <cfRule type="expression" dxfId="106" priority="13">
      <formula>$H$37&lt;0</formula>
    </cfRule>
    <cfRule type="expression" dxfId="105" priority="14">
      <formula>$H$37&gt;0</formula>
    </cfRule>
  </conditionalFormatting>
  <conditionalFormatting sqref="H49 H51 H53 H55">
    <cfRule type="expression" dxfId="104" priority="11">
      <formula>$H$37&lt;0</formula>
    </cfRule>
    <cfRule type="expression" dxfId="103" priority="12">
      <formula>$H$37&gt;0</formula>
    </cfRule>
  </conditionalFormatting>
  <conditionalFormatting sqref="H59 H61 H63">
    <cfRule type="expression" dxfId="102" priority="9">
      <formula>$H$37&lt;0</formula>
    </cfRule>
    <cfRule type="expression" dxfId="101" priority="10">
      <formula>$H$37&gt;0</formula>
    </cfRule>
  </conditionalFormatting>
  <conditionalFormatting sqref="H47">
    <cfRule type="expression" dxfId="100" priority="7">
      <formula>$H$37&lt;0</formula>
    </cfRule>
    <cfRule type="expression" dxfId="99" priority="8">
      <formula>$H$37&gt;0</formula>
    </cfRule>
  </conditionalFormatting>
  <conditionalFormatting sqref="H57">
    <cfRule type="expression" dxfId="98" priority="5">
      <formula>$H$37&lt;0</formula>
    </cfRule>
    <cfRule type="expression" dxfId="97" priority="6">
      <formula>$H$37&gt;0</formula>
    </cfRule>
  </conditionalFormatting>
  <conditionalFormatting sqref="H37">
    <cfRule type="expression" dxfId="96" priority="3">
      <formula>$H$37&lt;0</formula>
    </cfRule>
    <cfRule type="expression" dxfId="95" priority="4">
      <formula>$H$37&gt;0</formula>
    </cfRule>
  </conditionalFormatting>
  <conditionalFormatting sqref="H39">
    <cfRule type="expression" dxfId="94" priority="1">
      <formula>$H$37&lt;0</formula>
    </cfRule>
    <cfRule type="expression" dxfId="93" priority="2">
      <formula>$H$37&gt;0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  <ignoredErrors>
    <ignoredError sqref="J76:J115 J166:J174" evalError="1"/>
    <ignoredError sqref="C30:C43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1168-EEE9-4055-BD44-1241F248F113}">
  <sheetPr codeName="Hoja10">
    <pageSetUpPr fitToPage="1"/>
  </sheetPr>
  <dimension ref="A1:W181"/>
  <sheetViews>
    <sheetView showGridLines="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497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5 : CCAA Valencia, Castilla-La Mancha, Illes Balears y Murcia.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oferta'!$B$18&amp;"T1_L05_cab"</f>
        <v>T1_L05_cab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oferta'!$B$18&amp;"T1_L05_DAB1"</f>
        <v>T1_L05_DAB1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decimales",IF(VLOOKUP(5,'RESUMEN LOTES'!B7:E15,4,FALSE)&lt;G18,"Importe ofertado supera max. € "&amp;VLOOKUP(5,'RESUMEN LOTES'!B7:E15,4,FALSE),IF(COUNTIFS($M$29:$M$67,"ok")&lt;&gt;18,"Debe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+IF(OR($G$18=0,LEN($G$18)=0),"¿?",IF(COUNTIFS($M$29:$M$67,"ok")&lt;&gt;18,"¿?",+IF(C13="Debe revisar Desglose 2 IMPORTE ofertado POR SEDE","¿?",+SUMIFS($J$79:$J$171,$H$79:$H$171,C13))))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oferta'!$B$18&amp;"T1_L05_DAB2"</f>
        <v>T1_L05_DAB2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decimales",IF(VLOOKUP(5,'RESUMEN LOTES'!B7:E15,4,FALSE)&lt;G18,"Importe ofertado supera max. € "&amp;VLOOKUP(5,'RESUMEN LOTES'!B7:E15,4,FALSE),IF(COUNTIFS($M$29:$M$67,"ok")&lt;&gt;18,"Debe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+IF(OR($G$18=0,LEN($G$18)=0),"¿?",IF(COUNTIFS($M$29:$M$67,"ok")&lt;&gt;18,"¿?",+IF(C14="Debe revisar Desglose 2 IMPORTE ofertado POR SEDE","¿?",+SUMIFS($J$79:$J$171,$H$79:$H$171,C14))))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oferta'!$B$18&amp;"T1_L05_DAB3"</f>
        <v>T1_L05_DAB3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decimales",IF(VLOOKUP(5,'RESUMEN LOTES'!B7:E15,4,FALSE)&lt;G18,"Importe ofertado supera max. € "&amp;VLOOKUP(5,'RESUMEN LOTES'!B7:E15,4,FALSE),IF(COUNTIFS($M$29:$M$67,"ok")&lt;&gt;18,"Debe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+IF(OR($G$18=0,LEN($G$18)=0),"¿?",IF(COUNTIFS($M$29:$M$67,"ok")&lt;&gt;18,"¿?",+IF(C15="Debe revisar Desglose 2 IMPORTE ofertado POR SEDE","¿?",+SUMIFS($J$79:$J$171,$H$79:$H$171,C15))))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oferta'!$B$18&amp;"T1_L05_DAB4"</f>
        <v>T1_L05_DAB4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decimales",IF(VLOOKUP(5,'RESUMEN LOTES'!B7:E15,4,FALSE)&lt;G18,"Importe ofertado supera max. € "&amp;VLOOKUP(5,'RESUMEN LOTES'!B7:E15,4,FALSE),IF(COUNTIFS($M$29:$M$67,"ok")&lt;&gt;18,"Debe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+IF(OR($G$18=0,LEN($G$18)=0),"¿?",IF(COUNTIFS($M$29:$M$67,"ok")&lt;&gt;18,"¿?",+IF(C16="Debe revisar Desglose 2 IMPORTE ofertado POR SEDE","¿?",+SUMIFS($J$79:$J$171,$H$79:$H$171,C16))))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oferta'!$B$18&amp;"T1_L05_DAB5"</f>
        <v>T1_L05_DAB5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decimales",IF(VLOOKUP(5,'RESUMEN LOTES'!B7:E15,4,FALSE)&lt;G18,"Importe ofertado supera max. € "&amp;VLOOKUP(5,'RESUMEN LOTES'!B7:E15,4,FALSE),IF(COUNTIFS($M$29:$M$67,"ok")&lt;&gt;18,"Debe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+IF(OR($G$18=0,LEN($G$18)=0),"¿?",IF(COUNTIFS($M$29:$M$67,"ok")&lt;&gt;18,"¿?",+IF(C17="Debe revisar Desglose 2 IMPORTE ofertado POR SEDE","¿?",+SUMIFS($J$79:$J$171,$H$79:$H$171,"Registro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oferta'!$B$18&amp;"T1_L05_TOT"</f>
        <v>T1_L05_TOT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  <c r="M19" s="122"/>
      <c r="N19" s="122"/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oferta'!$B$18&amp;"T2_L05_cab0a"</f>
        <v>T2_L05_cab0a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oferta'!$B$18&amp;"T2_L05_cab0b"</f>
        <v>T2_L05_cab0b</v>
      </c>
      <c r="B27" s="163" t="s">
        <v>199</v>
      </c>
      <c r="C27" s="164" t="s">
        <v>420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oferta'!$B$18&amp;"T2_L05_cab1(CA)"</f>
        <v>T2_L05_cab1(CA)</v>
      </c>
      <c r="B28" s="170" t="s">
        <v>390</v>
      </c>
      <c r="C28" s="171" t="s">
        <v>200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21.95" customHeight="1" thickBot="1" x14ac:dyDescent="0.3">
      <c r="A29" s="147" t="str">
        <f>+'Anx I pg 1 oferta'!$B$18&amp;"T2_L05_inst_"&amp;B29</f>
        <v>T2_L05_inst_L05-01</v>
      </c>
      <c r="B29" s="176" t="s">
        <v>201</v>
      </c>
      <c r="C29" s="177" t="str">
        <f>+VLOOKUP(B29,'DATOS CENTROS'!B:F,4,FALSE)</f>
        <v>C.E. FM PICAYO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3.9E-2</v>
      </c>
      <c r="G29" s="181" t="str">
        <f>+IF(OR($G$18=0,LEN($G$18)=0),"",+ROUND(((H29)/$G$18),6))</f>
        <v/>
      </c>
      <c r="H29" s="217"/>
      <c r="J29" s="183"/>
      <c r="K29" s="183"/>
      <c r="L29" s="183"/>
      <c r="M29" s="277" t="str">
        <f>+IFERROR(IF(N29&lt;&gt;TRUNC(N29,2),".+ de 2 decim.",IF(COUNTA($H$29:$H$67)&lt;18,18-COUNTA($H$29:$H$68)&amp;" Items ptes.ofertar ",IF(AND($G$18&gt;0,$H$42&gt;0,(N29)/(N29)=1),"ok","mal"))),"¿max.min.ofertado?")</f>
        <v>¿max.min.ofertado?</v>
      </c>
      <c r="N29" s="183" t="str">
        <f>+IF(OR($G$18=0,LEN($G$18)=0),"",IF(OR($G$18&lt;0,+$G$18/$G$18&lt;&gt;1),"Total oferta Lote incorrecto (no numérico o negativo)",IF(AND($G$18&gt;0,$H$42&gt;0,H29&lt;=0),"¿importe ofertado?",IF(AND($G$18&gt;0,$H$37&lt;0),"acum.of.oferta sede &gt;oferta lote",IF(AND($G$18&gt;0,$H$37&lt;&gt;0,H29&lt;VLOOKUP(B29,'% admitidos'!A:M,11,FALSE)),+"min."&amp;VLOOKUP(B29,'% admitidos'!A:M,11,FALSE),IF(AND($G$18&gt;0,$H$42&gt;0,H29&gt;VLOOKUP(B29,'%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2" customHeight="1" thickBot="1" x14ac:dyDescent="0.3">
      <c r="A30" s="147" t="s">
        <v>542</v>
      </c>
      <c r="B30" s="236" t="s">
        <v>390</v>
      </c>
      <c r="C30" s="24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61"/>
      <c r="E30" s="61"/>
      <c r="F30" s="67"/>
      <c r="G30" s="68"/>
      <c r="H30" s="123"/>
      <c r="J30" s="126"/>
      <c r="K30" s="126"/>
      <c r="L30" s="126"/>
      <c r="M30" s="279"/>
      <c r="N30" s="126"/>
    </row>
    <row r="31" spans="1:23" ht="21.95" customHeight="1" thickBot="1" x14ac:dyDescent="0.3">
      <c r="A31" s="147" t="str">
        <f>+'Anx I pg 1 oferta'!$B$18&amp;"T2_L05_inst_"&amp;B31</f>
        <v>T2_L05_inst_L05-02</v>
      </c>
      <c r="B31" s="176" t="s">
        <v>203</v>
      </c>
      <c r="C31" s="177" t="str">
        <f>+VLOOKUP(B31,'DATOS CENTROS'!B:F,4,FALSE)</f>
        <v>C.T. RNE Valencia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5.1999999999999998E-2</v>
      </c>
      <c r="G31" s="181" t="str">
        <f>+IF(OR($G$18=0,LEN($G$18)=0),"",+ROUND(((H31)/$G$18),6))</f>
        <v/>
      </c>
      <c r="H31" s="217"/>
      <c r="J31" s="183"/>
      <c r="K31" s="183"/>
      <c r="L31" s="183"/>
      <c r="M31" s="277" t="str">
        <f>+IFERROR(IF(N31&lt;&gt;TRUNC(N31,2),".+ de 2 decim.",IF(COUNTA($H$29:$H$67)&lt;18,18-COUNTA($H$29:$H$68)&amp;" Items ptes.ofertar ",IF(AND($G$18&gt;0,$H$42&gt;0,(N31)/(N31)=1),"ok","mal"))),"¿max.min.ofertado?")</f>
        <v>¿max.min.ofertado?</v>
      </c>
      <c r="N31" s="183" t="str">
        <f>+IF(OR($G$18=0,LEN($G$18)=0),"",IF(OR($G$18&lt;0,+$G$18/$G$18&lt;&gt;1),"Total oferta Lote incorrecto (no numérico o negativo)",IF(AND($G$18&gt;0,$H$42&gt;0,H31&lt;=0),"¿importe ofertado?",IF(AND($G$18&gt;0,$H$37&lt;0),"acum.of.oferta sede &gt;oferta lote",IF(AND($G$18&gt;0,$H$42&gt;0,H31&lt;VLOOKUP(B31,'% admitidos'!A:M,11,FALSE)),+"min."&amp;VLOOKUP(B31,'% admitidos'!A:M,11,FALSE),IF(AND($G$18&gt;0,$H$42&gt;0,H31&gt;VLOOKUP(B31,'% admitidos'!A:M,13,FALSE)),+"max."&amp;VLOOKUP(B31,'% admitidos'!A:M,13,FALSE),+H31))))))</f>
        <v/>
      </c>
    </row>
    <row r="32" spans="1:23" ht="12" customHeight="1" thickTop="1" thickBot="1" x14ac:dyDescent="0.3">
      <c r="A32" s="147" t="s">
        <v>542</v>
      </c>
      <c r="B32" s="237" t="s">
        <v>390</v>
      </c>
      <c r="C32" s="248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135"/>
      <c r="E32" s="135"/>
      <c r="F32" s="136"/>
      <c r="G32" s="137"/>
      <c r="H32" s="138"/>
      <c r="J32" s="126"/>
      <c r="K32" s="126"/>
      <c r="L32" s="126"/>
      <c r="M32" s="279"/>
      <c r="N32" s="126"/>
    </row>
    <row r="33" spans="1:23" ht="21.95" customHeight="1" thickBot="1" x14ac:dyDescent="0.3">
      <c r="A33" s="147" t="str">
        <f>+'Anx I pg 1 oferta'!$B$18&amp;"T2_L05_inst_"&amp;B33</f>
        <v>T2_L05_inst_L05-03</v>
      </c>
      <c r="B33" s="176" t="s">
        <v>205</v>
      </c>
      <c r="C33" s="177" t="str">
        <f>+VLOOKUP(B33,'DATOS CENTROS'!B:F,4,FALSE)</f>
        <v>C.T. TVE Valencia</v>
      </c>
      <c r="D33" s="178"/>
      <c r="E33" s="289" t="str">
        <f>+VLOOKUP(B33,'DATOS CENTROS'!B:F,3,FALSE)</f>
        <v>C</v>
      </c>
      <c r="F33" s="180">
        <f>+VLOOKUP(B33,'DATOS CENTROS'!B:F,5,FALSE)</f>
        <v>3.5000000000000003E-2</v>
      </c>
      <c r="G33" s="181" t="str">
        <f>+IF(OR($G$18=0,LEN($G$18)=0),"",+ROUND(((H33)/$G$18),6))</f>
        <v/>
      </c>
      <c r="H33" s="217"/>
      <c r="J33" s="183"/>
      <c r="K33" s="183"/>
      <c r="L33" s="183"/>
      <c r="M33" s="277" t="str">
        <f>+IFERROR(IF(N33&lt;&gt;TRUNC(N33,2),".+ de 2 decim.",IF(COUNTA($H$29:$H$67)&lt;18,18-COUNTA($H$29:$H$68)&amp;" Items ptes.ofertar ",IF(AND($G$18&gt;0,$H$42&gt;0,(N33)/(N33)=1),"ok","mal"))),"¿max.min.ofertado?")</f>
        <v>¿max.min.ofertado?</v>
      </c>
      <c r="N33" s="183" t="str">
        <f>+IF(OR($G$18=0,LEN($G$18)=0),"",IF(OR($G$18&lt;0,+$G$18/$G$18&lt;&gt;1),"Total oferta Lote incorrecto (no numérico o negativo)",IF(AND($G$18&gt;0,$H$42&gt;0,H33&lt;=0),"¿importe ofertado?",IF(AND($G$18&gt;0,$H$37&lt;0),"acum.of.oferta sede &gt;oferta lote",IF(AND($G$18&gt;0,$H$42&gt;0,H33&lt;VLOOKUP(B33,'% admitidos'!A:M,11,FALSE)),+"min."&amp;VLOOKUP(B33,'% admitidos'!A:M,11,FALSE),IF(AND($G$18&gt;0,$H$42&gt;0,H33&gt;VLOOKUP(B33,'% admitidos'!A:M,13,FALSE)),+"max."&amp;VLOOKUP(B33,'% admitidos'!A:M,13,FALSE),+H33))))))</f>
        <v/>
      </c>
    </row>
    <row r="34" spans="1:23" ht="12" customHeight="1" thickBot="1" x14ac:dyDescent="0.3">
      <c r="A34" s="147" t="s">
        <v>542</v>
      </c>
      <c r="B34" s="236" t="s">
        <v>390</v>
      </c>
      <c r="C34" s="24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61"/>
      <c r="E34" s="61"/>
      <c r="F34" s="67"/>
      <c r="G34" s="67"/>
      <c r="H34" s="123"/>
      <c r="J34" s="126"/>
      <c r="K34" s="126"/>
      <c r="L34" s="126"/>
      <c r="M34" s="279"/>
      <c r="N34" s="126"/>
    </row>
    <row r="35" spans="1:23" ht="21.95" customHeight="1" thickBot="1" x14ac:dyDescent="0.3">
      <c r="A35" s="147" t="str">
        <f>+'Anx I pg 1 oferta'!$B$18&amp;"T2_L05_inst_"&amp;B35</f>
        <v>T2_L05_inst_L05-04</v>
      </c>
      <c r="B35" s="186" t="s">
        <v>207</v>
      </c>
      <c r="C35" s="187" t="str">
        <f>+VLOOKUP(B35,'DATOS CENTROS'!B:F,4,FALSE)</f>
        <v>S.U. Elche</v>
      </c>
      <c r="D35" s="188"/>
      <c r="E35" s="189" t="str">
        <f>+VLOOKUP(B35,'DATOS CENTROS'!B:F,3,FALSE)</f>
        <v>C</v>
      </c>
      <c r="F35" s="220">
        <f>+VLOOKUP(B35,'DATOS CENTROS'!B:F,5,FALSE)</f>
        <v>1.6E-2</v>
      </c>
      <c r="G35" s="190" t="str">
        <f>+IF(OR($G$18=0,LEN($G$18)=0),"",+ROUND(((H35)/$G$18),6))</f>
        <v/>
      </c>
      <c r="H35" s="218"/>
      <c r="J35" s="183"/>
      <c r="K35" s="183"/>
      <c r="L35" s="183"/>
      <c r="M35" s="277" t="str">
        <f>+IFERROR(IF(N35&lt;&gt;TRUNC(N35,2),".+ de 2 decim.",IF(COUNTA($H$29:$H$67)&lt;18,18-COUNTA($H$29:$H$68)&amp;" Items ptes.ofertar ",IF(AND($G$18&gt;0,$H$42&gt;0,(N35)/(N35)=1),"ok","mal"))),"¿max.min.ofertado?")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negativo)",IF(AND($G$18&gt;0,$H$42&gt;0,H35&lt;=0),"¿importe ofertado?",IF(AND($G$18&gt;0,$H$37&lt;0),"acum.of.oferta sede &gt;oferta lote",IF(AND($G$18&gt;0,$H$42&gt;0,H35&lt;VLOOKUP(B35,'% admitidos'!A:M,11,FALSE)),+"min."&amp;VLOOKUP(B35,'% admitidos'!A:M,11,FALSE),IF(AND($G$18&gt;0,$H$42&gt;0,H35&gt;VLOOKUP(B35,'% admitidos'!A:M,13,FALSE)),+"max."&amp;VLOOKUP(B35,'% admitidos'!A:M,13,FALSE),+H35))))))</f>
        <v/>
      </c>
    </row>
    <row r="36" spans="1:23" ht="12" customHeight="1" thickTop="1" thickBot="1" x14ac:dyDescent="0.3">
      <c r="A36" s="147" t="s">
        <v>542</v>
      </c>
      <c r="B36" s="152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69"/>
      <c r="G36" s="69"/>
      <c r="H36" s="71"/>
      <c r="J36" s="126"/>
      <c r="K36" s="126"/>
      <c r="L36" s="126"/>
      <c r="M36" s="279"/>
      <c r="N36" s="126"/>
    </row>
    <row r="37" spans="1:23" ht="21.95" customHeight="1" thickBot="1" x14ac:dyDescent="0.3">
      <c r="A37" s="147" t="str">
        <f>+'Anx I pg 1 oferta'!$B$18&amp;"T2_L05_inst_"&amp;B37</f>
        <v>T2_L05_inst_L05-05</v>
      </c>
      <c r="B37" s="176" t="s">
        <v>209</v>
      </c>
      <c r="C37" s="177" t="str">
        <f>+VLOOKUP(B37,'DATOS CENTROS'!B:F,4,FALSE)</f>
        <v>U.I. RTVE Castellón</v>
      </c>
      <c r="D37" s="178"/>
      <c r="E37" s="179" t="str">
        <f>+VLOOKUP(B37,'DATOS CENTROS'!B:F,3,FALSE)</f>
        <v>C</v>
      </c>
      <c r="F37" s="180">
        <f>+VLOOKUP(B37,'DATOS CENTROS'!B:F,5,FALSE)</f>
        <v>1.6E-2</v>
      </c>
      <c r="G37" s="181" t="str">
        <f>+IF(OR($G$18=0,LEN($G$18)=0),"",+ROUND(((H37)/$G$18),6))</f>
        <v/>
      </c>
      <c r="H37" s="217"/>
      <c r="J37" s="183"/>
      <c r="K37" s="183"/>
      <c r="L37" s="183"/>
      <c r="M37" s="277" t="str">
        <f>+IFERROR(IF(N37&lt;&gt;TRUNC(N37,2),".+ de 2 decim.",IF(COUNTA($H$29:$H$67)&lt;18,18-COUNTA($H$29:$H$68)&amp;" Items ptes.ofertar ",IF(AND($G$18&gt;0,$H$42&gt;0,(N37)/(N37)=1),"ok","mal"))),"¿max.min.ofertado?")</f>
        <v>¿max.min.ofertado?</v>
      </c>
      <c r="N37" s="183" t="str">
        <f>+IF(OR($G$18=0,LEN($G$18)=0),"",IF(OR($G$18&lt;0,+$G$18/$G$18&lt;&gt;1),"Total oferta Lote incorrecto (no numérico o negativo)",IF(AND($G$18&gt;0,$H$42&gt;0,H37&lt;=0),"¿importe ofertado?",IF(AND($G$18&gt;0,$H$37&lt;0),"acum.of.oferta sede &gt;oferta lote",IF(AND($G$18&gt;0,$H$42&gt;0,H37&lt;VLOOKUP(B37,'% admitidos'!A:M,11,FALSE)),+"min."&amp;VLOOKUP(B37,'% admitidos'!A:M,11,FALSE),IF(AND($G$18&gt;0,$H$42&gt;0,H37&gt;VLOOKUP(B37,'% admitidos'!A:M,13,FALSE)),+"max."&amp;+ROUND(VLOOKUP(B37,'% admitidos'!A:M,13,FALSE),4),+H37))))))</f>
        <v/>
      </c>
    </row>
    <row r="38" spans="1:23" ht="12" customHeight="1" thickTop="1" thickBot="1" x14ac:dyDescent="0.3">
      <c r="A38" s="147" t="s">
        <v>542</v>
      </c>
      <c r="B38" s="237" t="s">
        <v>390</v>
      </c>
      <c r="C38" s="248" t="str">
        <f>+IF(LEN('Anx I pg 1 oferta'!$C$56)&gt;0,"","min. "&amp;VLOOKUP(B37,'% admitidos'!A:M,11,FALSE)&amp;" - med.  "&amp;VLOOKUP(B37,'% admitidos'!A:M,12,FALSE)&amp;" - max.  "&amp;+ROUND(VLOOKUP(B37,'% admitidos'!A:M,13,FALSE),6))</f>
        <v>min. 0 - med.  0 - max.  0</v>
      </c>
      <c r="D38" s="135"/>
      <c r="E38" s="135"/>
      <c r="F38" s="135"/>
      <c r="G38" s="135"/>
      <c r="H38" s="144"/>
      <c r="J38" s="107"/>
      <c r="K38" s="107"/>
      <c r="L38" s="107"/>
      <c r="M38" s="279"/>
      <c r="N38" s="107"/>
    </row>
    <row r="39" spans="1:23" ht="15.75" thickBot="1" x14ac:dyDescent="0.3">
      <c r="A39" s="147" t="str">
        <f>+'Anx I pg 1 oferta'!$B$18&amp;"T2_L05_cab2(CA)"</f>
        <v>T2_L05_cab2(CA)</v>
      </c>
      <c r="B39" s="170" t="s">
        <v>390</v>
      </c>
      <c r="C39" s="171" t="s">
        <v>211</v>
      </c>
      <c r="D39" s="172"/>
      <c r="E39" s="172"/>
      <c r="F39" s="173"/>
      <c r="G39" s="173"/>
      <c r="H39" s="174"/>
      <c r="M39" s="12"/>
    </row>
    <row r="40" spans="1:23" ht="21.95" customHeight="1" thickBot="1" x14ac:dyDescent="0.3">
      <c r="A40" s="147" t="str">
        <f>+'Anx I pg 1 oferta'!$B$18&amp;"T2_L05_inst_"&amp;B40</f>
        <v>T2_L05_inst_L05-06</v>
      </c>
      <c r="B40" s="176" t="s">
        <v>212</v>
      </c>
      <c r="C40" s="177" t="str">
        <f>+VLOOKUP(B40,'DATOS CENTROS'!B:F,4,FALSE)</f>
        <v>C.E. OM ALMAGRO</v>
      </c>
      <c r="D40" s="178"/>
      <c r="E40" s="179" t="str">
        <f>+VLOOKUP(B40,'DATOS CENTROS'!B:F,3,FALSE)</f>
        <v xml:space="preserve"> A + C</v>
      </c>
      <c r="F40" s="180">
        <f>+VLOOKUP(B40,'DATOS CENTROS'!B:F,5,FALSE)</f>
        <v>8.1000000000000003E-2</v>
      </c>
      <c r="G40" s="181" t="str">
        <f>+IF(OR($G$18=0,LEN($G$18)=0),"",+ROUND(((H40)/$G$18),6))</f>
        <v/>
      </c>
      <c r="H40" s="217"/>
      <c r="J40" s="183"/>
      <c r="K40" s="183"/>
      <c r="L40" s="183"/>
      <c r="M40" s="277" t="str">
        <f>+IFERROR(IF(N40&lt;&gt;TRUNC(N40,2),".+ de 2 decim.",IF(COUNTA($H$29:$H$67)&lt;18,18-COUNTA($H$29:$H$68)&amp;" Items ptes.ofertar ",IF(AND($G$18&gt;0,$H$42&gt;0,(N40)/(N40)=1),"ok","mal"))),"¿max.min.ofertado?")</f>
        <v>¿max.min.ofertado?</v>
      </c>
      <c r="N40" s="183" t="str">
        <f>+IF(OR($G$18=0,LEN($G$18)=0),"",IF(OR($G$18&lt;0,+$G$18/$G$18&lt;&gt;1),"Total oferta Lote incorrecto (no numérico o negativo)",IF(AND($G$18&gt;0,$H$42&gt;0,H40&lt;=0),"¿importe ofertado?",IF(AND($G$18&gt;0,$H$37&lt;0),"acum.of.oferta sede &gt;oferta lote",IF(AND($G$18&gt;0,$H$42&gt;0,H40&lt;VLOOKUP(B40,'% admitidos'!A:M,11,FALSE)),+"min."&amp;VLOOKUP(B40,'% admitidos'!A:M,11,FALSE),IF(AND($G$18&gt;0,$H$42&gt;0,H40&gt;VLOOKUP(B40,'% admitidos'!A:M,13,FALSE)),+"max."&amp;VLOOKUP(B40,'% admitidos'!A:M,13,FALSE),+H40))))))</f>
        <v/>
      </c>
      <c r="Q40" s="101"/>
      <c r="R40" s="101"/>
      <c r="S40" s="101"/>
      <c r="T40" s="101"/>
      <c r="U40" s="101"/>
      <c r="V40" s="101"/>
      <c r="W40" s="101"/>
    </row>
    <row r="41" spans="1:23" ht="12" customHeight="1" thickTop="1" thickBot="1" x14ac:dyDescent="0.3">
      <c r="A41" s="147" t="s">
        <v>542</v>
      </c>
      <c r="B41" s="236" t="s">
        <v>390</v>
      </c>
      <c r="C41" s="248" t="str">
        <f>+IF(LEN('Anx I pg 1 oferta'!$C$56)&gt;0,"","min. "&amp;VLOOKUP(B40,'% admitidos'!A:M,11,FALSE)&amp;" - med.  "&amp;VLOOKUP(B40,'% admitidos'!A:M,12,FALSE)&amp;" - max.  "&amp;+ROUND(VLOOKUP(B40,'% admitidos'!A:M,13,FALSE),6))</f>
        <v>min. 0 - med.  0 - max.  0</v>
      </c>
      <c r="D41" s="61"/>
      <c r="E41" s="61"/>
      <c r="F41" s="67"/>
      <c r="G41" s="68"/>
      <c r="H41" s="123"/>
      <c r="J41" s="126"/>
      <c r="K41" s="126"/>
      <c r="L41" s="126"/>
      <c r="M41" s="279"/>
      <c r="N41" s="126"/>
    </row>
    <row r="42" spans="1:23" ht="21.95" customHeight="1" thickBot="1" x14ac:dyDescent="0.3">
      <c r="A42" s="147" t="str">
        <f>+'Anx I pg 1 oferta'!$B$18&amp;"T2_L05_inst_"&amp;B42</f>
        <v>T2_L05_inst_L05-07</v>
      </c>
      <c r="B42" s="186" t="s">
        <v>214</v>
      </c>
      <c r="C42" s="187" t="str">
        <f>+VLOOKUP(B42,'DATOS CENTROS'!B:F,4,FALSE)</f>
        <v>C.E. OM NOBLEJAS</v>
      </c>
      <c r="D42" s="188"/>
      <c r="E42" s="189" t="str">
        <f>+VLOOKUP(B42,'DATOS CENTROS'!B:F,3,FALSE)</f>
        <v xml:space="preserve"> A + C</v>
      </c>
      <c r="F42" s="220">
        <f>+VLOOKUP(B42,'DATOS CENTROS'!B:F,5,FALSE)</f>
        <v>0.23499999999999999</v>
      </c>
      <c r="G42" s="195" t="str">
        <f>+IF(OR($G$18=0,LEN($G$18)=0),"",1-SUM(G29:G41)-SUM(G44:G67))</f>
        <v/>
      </c>
      <c r="H42" s="197" t="str">
        <f>+IF(OR($G$18=0,+LEN($G$18)=0),"",+$G$18-SUM(H29:H41)-SUM(H44:H67))</f>
        <v/>
      </c>
      <c r="J42" s="183"/>
      <c r="K42" s="183"/>
      <c r="L42" s="183"/>
      <c r="M42" s="277" t="str">
        <f>+IFERROR(IF(COUNTA($H$29:$H$67)&lt;18,18-COUNTA($H$29:$H$68)&amp;" Items ptes.ofertar ",IF(AND($G$18&gt;0,$H$42&gt;0,(N42)/(N42)=1),"ok","mal")),"¿max.min.ofertado?")</f>
        <v xml:space="preserve">16 Items ptes.ofertar </v>
      </c>
      <c r="N42" s="183" t="str">
        <f>+IF(OR($G$18=0,LEN($G$18)=0),"",IF(OR($G$18&lt;0,+$G$18/$G$18&lt;&gt;1),"Total oferta Lote incorrecto (no numérico o negativo)",IF(AND($G$18&gt;0,$H$42&gt;0,H42&lt;=0),"¿importe ofertado?",IF(AND($G$18&gt;0,$H$37&lt;0),"acum.of.oferta sede &gt;oferta lote",IF(AND($G$18&gt;0,$H$37&lt;&gt;0,H42&lt;VLOOKUP(B42,'% admitidos'!A:M,13,FALSE)),+"MIN."&amp;VLOOKUP(B42,'% admitidos'!A:M,13,FALSE),IF(AND($G$18&gt;0,$H$42&gt;0,H42&gt;VLOOKUP(B42,'% admitidos'!A:M,11,FALSE)),+"MAX."&amp;VLOOKUP(B42,'% admitidos'!A:M,11,FALSE),+H42))))))</f>
        <v/>
      </c>
    </row>
    <row r="43" spans="1:23" ht="12" customHeight="1" thickTop="1" thickBot="1" x14ac:dyDescent="0.3">
      <c r="A43" s="147" t="s">
        <v>542</v>
      </c>
      <c r="B43" s="152" t="s">
        <v>390</v>
      </c>
      <c r="C43" s="240" t="str">
        <f>+IF(LEN('Anx I pg 1 oferta'!$C$56)&gt;0,"","MAX.  "&amp;VLOOKUP(B42,'% admitidos'!A:M,11,FALSE)&amp;" - med.  "&amp;VLOOKUP(B42,'% admitidos'!A:M,12,FALSE)&amp;" - MIN. "&amp;VLOOKUP(B42,'% admitidos'!A:M,13,FALSE))</f>
        <v>MAX.  0 - med.  0 - MIN. 0</v>
      </c>
      <c r="D43" s="54"/>
      <c r="E43" s="54"/>
      <c r="F43" s="69"/>
      <c r="G43" s="70"/>
      <c r="H43" s="124"/>
      <c r="J43" s="126"/>
      <c r="K43" s="126"/>
      <c r="L43" s="126"/>
      <c r="M43" s="279"/>
      <c r="N43" s="126"/>
    </row>
    <row r="44" spans="1:23" ht="21.95" customHeight="1" thickBot="1" x14ac:dyDescent="0.3">
      <c r="A44" s="147" t="str">
        <f>+'Anx I pg 1 oferta'!$B$18&amp;"T2_L05_inst_"&amp;B44</f>
        <v>T2_L05_inst_L05-08</v>
      </c>
      <c r="B44" s="176" t="s">
        <v>217</v>
      </c>
      <c r="C44" s="177" t="str">
        <f>+VLOOKUP(B44,'DATOS CENTROS'!B:F,4,FALSE)</f>
        <v>C.E. TALAVERA</v>
      </c>
      <c r="D44" s="178"/>
      <c r="E44" s="179" t="str">
        <f>+VLOOKUP(B44,'DATOS CENTROS'!B:F,3,FALSE)</f>
        <v xml:space="preserve"> A + C</v>
      </c>
      <c r="F44" s="231">
        <f>+VLOOKUP(B44,'DATOS CENTROS'!B:F,5,FALSE)</f>
        <v>3.5000000000000003E-2</v>
      </c>
      <c r="G44" s="181" t="str">
        <f>+IF(OR($G$18=0,LEN($G$18)=0),"",+ROUND(((H44)/$G$18),6))</f>
        <v/>
      </c>
      <c r="H44" s="217"/>
      <c r="J44" s="183"/>
      <c r="K44" s="183"/>
      <c r="L44" s="183"/>
      <c r="M44" s="277" t="str">
        <f>+IFERROR(IF(N44&lt;&gt;TRUNC(N44,2),".+ de 2 decim.",IF(COUNTA($H$29:$H$67)&lt;18,18-COUNTA($H$29:$H$68)&amp;" Items ptes.ofertar ",IF(AND($G$18&gt;0,$H$42&gt;0,(N44)/(N44)=1),"ok","mal"))),"¿max.min.ofertado?")</f>
        <v>¿max.min.ofertado?</v>
      </c>
      <c r="N44" s="183" t="str">
        <f>+IF(OR($G$18=0,LEN($G$18)=0),"",IF(OR($G$18&lt;0,+$G$18/$G$18&lt;&gt;1),"Total oferta Lote incorrecto (no numérico o negativo)",IF(AND($G$18&gt;0,$H$42&gt;0,H44&lt;=0),"¿importe ofertado?",IF(AND($G$18&gt;0,$H$37&lt;0),"acum.of.oferta sede &gt;oferta lote",IF(AND($G$18&gt;0,$H$42&gt;0,H44&lt;VLOOKUP(B44,'% admitidos'!A:M,11,FALSE)),+"min."&amp;VLOOKUP(B44,'% admitidos'!A:M,11,FALSE),IF(AND($G$18&gt;0,$H$42&gt;0,H44&gt;VLOOKUP(B44,'% admitidos'!A:M,13,FALSE)),+"max."&amp;VLOOKUP(B44,'% admitidos'!A:M,13,FALSE),+H44))))))</f>
        <v/>
      </c>
    </row>
    <row r="45" spans="1:23" ht="12" customHeight="1" thickBot="1" x14ac:dyDescent="0.3">
      <c r="A45" s="147" t="s">
        <v>542</v>
      </c>
      <c r="B45" s="236" t="s">
        <v>390</v>
      </c>
      <c r="C45" s="240" t="str">
        <f>+IF(LEN('Anx I pg 1 oferta'!$C$56)&gt;0,"","min. "&amp;VLOOKUP(B44,'% admitidos'!A:M,11,FALSE)&amp;" - med.  "&amp;VLOOKUP(B44,'% admitidos'!A:M,12,FALSE)&amp;" - max.  "&amp;VLOOKUP(B44,'% admitidos'!A:M,13,FALSE))</f>
        <v>min. 0 - med.  0 - max.  0</v>
      </c>
      <c r="D45" s="61"/>
      <c r="E45" s="61"/>
      <c r="F45" s="67"/>
      <c r="G45" s="67"/>
      <c r="H45" s="123"/>
      <c r="J45" s="126"/>
      <c r="K45" s="126"/>
      <c r="L45" s="126"/>
      <c r="M45" s="279"/>
      <c r="N45" s="126"/>
    </row>
    <row r="46" spans="1:23" ht="21.95" customHeight="1" thickBot="1" x14ac:dyDescent="0.3">
      <c r="A46" s="147" t="str">
        <f>+'Anx I pg 1 oferta'!$B$18&amp;"T2_L05_inst_"&amp;B46</f>
        <v>T2_L05_inst_L05-09</v>
      </c>
      <c r="B46" s="176" t="s">
        <v>219</v>
      </c>
      <c r="C46" s="177" t="str">
        <f>+VLOOKUP(B46,'DATOS CENTROS'!B:F,4,FALSE)</f>
        <v>C.T. RTVE Toledo</v>
      </c>
      <c r="D46" s="178"/>
      <c r="E46" s="179" t="str">
        <f>+VLOOKUP(B46,'DATOS CENTROS'!B:F,3,FALSE)</f>
        <v xml:space="preserve"> A + C</v>
      </c>
      <c r="F46" s="180">
        <f>+VLOOKUP(B46,'DATOS CENTROS'!B:F,5,FALSE)</f>
        <v>9.4E-2</v>
      </c>
      <c r="G46" s="181" t="str">
        <f>+IF(OR($G$18=0,LEN($G$18)=0),"",+ROUND(((H46)/$G$18),6))</f>
        <v/>
      </c>
      <c r="H46" s="217"/>
      <c r="J46" s="183"/>
      <c r="K46" s="183"/>
      <c r="L46" s="183"/>
      <c r="M46" s="277" t="str">
        <f>+IFERROR(IF(N46&lt;&gt;TRUNC(N46,2),".+ de 2 decim.",IF(COUNTA($H$29:$H$67)&lt;18,18-COUNTA($H$29:$H$68)&amp;" Items ptes.ofertar ",IF(AND($G$18&gt;0,$H$42&gt;0,(N46)/(N46)=1),"ok","mal"))),"¿max.min.ofertado?")</f>
        <v>¿max.min.ofertado?</v>
      </c>
      <c r="N46" s="183" t="str">
        <f>+IF(OR($G$18=0,LEN($G$18)=0),"",IF(OR($G$18&lt;0,+$G$18/$G$18&lt;&gt;1),"Total oferta Lote incorrecto (no numérico o negativo)",IF(AND($G$18&gt;0,$H$42&gt;0,H46&lt;=0),"¿importe ofertado?",IF(AND($G$18&gt;0,$H$37&lt;0),"acum.of.oferta sede &gt;oferta lote",IF(AND($G$18&gt;0,$H$42&gt;0,H46&lt;VLOOKUP(B46,'% admitidos'!A:M,11,FALSE)),+"min."&amp;VLOOKUP(B46,'% admitidos'!A:M,11,FALSE),IF(AND($G$18&gt;0,$H$42&gt;0,H46&gt;VLOOKUP(B46,'% admitidos'!A:M,13,FALSE)),+"max."&amp;VLOOKUP(B46,'% admitidos'!A:M,13,FALSE),+H46))))))</f>
        <v/>
      </c>
    </row>
    <row r="47" spans="1:23" ht="12" customHeight="1" thickBot="1" x14ac:dyDescent="0.3">
      <c r="A47" s="147" t="s">
        <v>542</v>
      </c>
      <c r="B47" s="236" t="s">
        <v>390</v>
      </c>
      <c r="C47" s="240" t="str">
        <f>+IF(LEN('Anx I pg 1 oferta'!$C$56)&gt;0,"","min. "&amp;VLOOKUP(B46,'% admitidos'!A:M,11,FALSE)&amp;" - med.  "&amp;VLOOKUP(B46,'% admitidos'!A:M,12,FALSE)&amp;" - max.  "&amp;VLOOKUP(B46,'% admitidos'!A:M,13,FALSE))</f>
        <v>min. 0 - med.  0 - max.  0</v>
      </c>
      <c r="D47" s="61"/>
      <c r="E47" s="61"/>
      <c r="F47" s="67"/>
      <c r="G47" s="67"/>
      <c r="H47" s="145"/>
      <c r="J47" s="126"/>
      <c r="K47" s="126"/>
      <c r="L47" s="126"/>
      <c r="M47" s="279"/>
      <c r="N47" s="126"/>
    </row>
    <row r="48" spans="1:23" ht="21.95" customHeight="1" thickBot="1" x14ac:dyDescent="0.3">
      <c r="A48" s="147" t="str">
        <f>+'Anx I pg 1 oferta'!$B$18&amp;"T2_L05_inst_"&amp;B48</f>
        <v>T2_L05_inst_L05-10</v>
      </c>
      <c r="B48" s="191" t="s">
        <v>221</v>
      </c>
      <c r="C48" s="192" t="str">
        <f>+VLOOKUP(B48,'DATOS CENTROS'!B:F,4,FALSE)</f>
        <v>U.I. RTVE Cuenca</v>
      </c>
      <c r="D48" s="193"/>
      <c r="E48" s="194" t="str">
        <f>+VLOOKUP(B48,'DATOS CENTROS'!B:F,3,FALSE)</f>
        <v>C</v>
      </c>
      <c r="F48" s="220">
        <f>+VLOOKUP(B48,'DATOS CENTROS'!B:F,5,FALSE)</f>
        <v>2.5999999999999999E-2</v>
      </c>
      <c r="G48" s="230" t="str">
        <f>+IF(OR($G$18=0,LEN($G$18)=0),"",+ROUND(((H48)/$G$18),6))</f>
        <v/>
      </c>
      <c r="H48" s="219"/>
      <c r="J48" s="183"/>
      <c r="K48" s="183"/>
      <c r="L48" s="183"/>
      <c r="M48" s="277" t="str">
        <f>+IFERROR(IF(N48&lt;&gt;TRUNC(N48,2),".+ de 2 decim.",IF(COUNTA($H$29:$H$67)&lt;18,18-COUNTA($H$29:$H$68)&amp;" Items ptes.ofertar ",IF(AND($G$18&gt;0,$H$42&gt;0,(N48)/(N48)=1),"ok","mal"))),"¿max.min.ofertado?")</f>
        <v>¿max.min.ofertado?</v>
      </c>
      <c r="N48" s="183" t="str">
        <f>+IF(OR($G$18=0,LEN($G$18)=0),"",IF(OR($G$18&lt;0,+$G$18/$G$18&lt;&gt;1),"Total oferta Lote incorrecto (no numérico o negativo)",IF(AND($G$18&gt;0,$H$42&gt;0,H48&lt;=0),"¿importe ofertado?",IF(AND($G$18&gt;0,$H$37&lt;0),"acum.of.oferta sede &gt;oferta lote",IF(AND($G$18&gt;0,$H$42&gt;0,H48&lt;VLOOKUP(B48,'% admitidos'!A:M,11,FALSE)),+"min."&amp;VLOOKUP(B48,'% admitidos'!A:M,11,FALSE),IF(AND($G$18&gt;0,$H$42&gt;0,H48&gt;VLOOKUP(B48,'% admitidos'!A:M,13,FALSE)),+"max."&amp;VLOOKUP(B48,'% admitidos'!A:M,13,FALSE),+H48))))))</f>
        <v/>
      </c>
    </row>
    <row r="49" spans="1:23" ht="12" customHeight="1" thickBot="1" x14ac:dyDescent="0.3">
      <c r="A49" s="147" t="s">
        <v>542</v>
      </c>
      <c r="B49" s="152" t="s">
        <v>390</v>
      </c>
      <c r="C49" s="254" t="str">
        <f>+IF(LEN('Anx I pg 1 oferta'!$C$56)&gt;0,"","min. "&amp;VLOOKUP(B48,'% admitidos'!A:M,11,FALSE)&amp;" - med.  "&amp;VLOOKUP(B48,'% admitidos'!A:M,12,FALSE)&amp;" - max.  "&amp;+ROUND(VLOOKUP(B48,'% admitidos'!A:M,13,FALSE),6))</f>
        <v>min. 0 - med.  0 - max.  0</v>
      </c>
      <c r="D49" s="54"/>
      <c r="E49" s="54"/>
      <c r="F49" s="54"/>
      <c r="G49" s="54"/>
      <c r="H49" s="55"/>
      <c r="J49" s="107"/>
      <c r="K49" s="107"/>
      <c r="L49" s="107"/>
      <c r="M49" s="279"/>
      <c r="N49" s="107"/>
    </row>
    <row r="50" spans="1:23" ht="21.95" customHeight="1" thickBot="1" x14ac:dyDescent="0.3">
      <c r="A50" s="147" t="str">
        <f>+'Anx I pg 1 oferta'!$B$18&amp;"T2_L05_inst_"&amp;B50</f>
        <v>T2_L05_inst_L05-11</v>
      </c>
      <c r="B50" s="176" t="s">
        <v>223</v>
      </c>
      <c r="C50" s="177" t="str">
        <f>+VLOOKUP(B50,'DATOS CENTROS'!B:F,4,FALSE)</f>
        <v>U.I. RTVE Albacete</v>
      </c>
      <c r="D50" s="178"/>
      <c r="E50" s="179" t="str">
        <f>+VLOOKUP(B50,'DATOS CENTROS'!B:F,3,FALSE)</f>
        <v>C</v>
      </c>
      <c r="F50" s="180">
        <f>+VLOOKUP(B50,'DATOS CENTROS'!B:F,5,FALSE)</f>
        <v>2.3E-2</v>
      </c>
      <c r="G50" s="181" t="str">
        <f>+IF(OR($G$18=0,LEN($G$18)=0),"",+ROUND(((H50)/$G$18),6))</f>
        <v/>
      </c>
      <c r="H50" s="217"/>
      <c r="J50" s="183"/>
      <c r="K50" s="183"/>
      <c r="L50" s="183"/>
      <c r="M50" s="277" t="str">
        <f>+IFERROR(IF(N50&lt;&gt;TRUNC(N50,2),".+ de 2 decim.",IF(COUNTA($H$29:$H$67)&lt;18,18-COUNTA($H$29:$H$68)&amp;" Items ptes.ofertar ",IF(AND($G$18&gt;0,$H$42&gt;0,(N50)/(N50)=1),"ok","mal"))),"¿max.min.ofertado?")</f>
        <v>¿max.min.ofertado?</v>
      </c>
      <c r="N50" s="183" t="str">
        <f>+IF(OR($G$18=0,LEN($G$18)=0),"",IF(OR($G$18&lt;0,+$G$18/$G$18&lt;&gt;1),"Total oferta Lote incorrecto (no numérico o negativo)",IF(AND($G$18&gt;0,$H$42&gt;0,H50&lt;=0),"¿importe ofertado?",IF(AND($G$18&gt;0,$H$37&lt;0),"acum.of.oferta sede &gt;oferta lote",IF(AND($G$18&gt;0,$H$37&lt;&gt;0,H50&lt;VLOOKUP(B50,'% admitidos'!A:M,11,FALSE)),+"min."&amp;VLOOKUP(B50,'% admitidos'!A:M,11,FALSE),IF(AND($G$18&gt;0,$H$42&gt;0,H50&gt;VLOOKUP(B50,'% admitidos'!A:M,13,FALSE)),+"max."&amp;VLOOKUP(B50,'% admitidos'!A:M,13,FALSE),+H50))))))</f>
        <v/>
      </c>
      <c r="Q50" s="101"/>
      <c r="R50" s="101"/>
      <c r="S50" s="101"/>
      <c r="T50" s="101"/>
      <c r="U50" s="101"/>
      <c r="V50" s="101"/>
      <c r="W50" s="101"/>
    </row>
    <row r="51" spans="1:23" ht="12" customHeight="1" thickBot="1" x14ac:dyDescent="0.3">
      <c r="A51" s="147" t="s">
        <v>542</v>
      </c>
      <c r="B51" s="236" t="s">
        <v>390</v>
      </c>
      <c r="C51" s="240" t="str">
        <f>+IF(LEN('Anx I pg 1 oferta'!$C$56)&gt;0,"","min. "&amp;VLOOKUP(B50,'% admitidos'!A:M,11,FALSE)&amp;" - med.  "&amp;VLOOKUP(B50,'% admitidos'!A:M,12,FALSE)&amp;" - max.  "&amp;VLOOKUP(B50,'% admitidos'!A:M,13,FALSE))</f>
        <v>min. 0 - med.  0 - max.  0</v>
      </c>
      <c r="D51" s="61"/>
      <c r="E51" s="61"/>
      <c r="F51" s="67"/>
      <c r="G51" s="68"/>
      <c r="H51" s="123"/>
      <c r="J51" s="126"/>
      <c r="K51" s="126"/>
      <c r="L51" s="126"/>
      <c r="M51" s="279"/>
      <c r="N51" s="126"/>
    </row>
    <row r="52" spans="1:23" ht="21.95" customHeight="1" thickBot="1" x14ac:dyDescent="0.3">
      <c r="A52" s="147" t="str">
        <f>+'Anx I pg 1 oferta'!$B$18&amp;"T2_L05_inst_"&amp;B52</f>
        <v>T2_L05_inst_L05-12</v>
      </c>
      <c r="B52" s="176" t="s">
        <v>225</v>
      </c>
      <c r="C52" s="177" t="str">
        <f>+VLOOKUP(B52,'DATOS CENTROS'!B:F,4,FALSE)</f>
        <v>D.I. RTVE Talavera de la Reina</v>
      </c>
      <c r="D52" s="178"/>
      <c r="E52" s="179" t="str">
        <f>+VLOOKUP(B52,'DATOS CENTROS'!B:F,3,FALSE)</f>
        <v>C</v>
      </c>
      <c r="F52" s="180">
        <f>+VLOOKUP(B52,'DATOS CENTROS'!B:F,5,FALSE)</f>
        <v>1.6E-2</v>
      </c>
      <c r="G52" s="181" t="str">
        <f>+IF(OR($G$18=0,LEN($G$18)=0),"",+ROUND(((H52)/$G$18),6))</f>
        <v/>
      </c>
      <c r="H52" s="217"/>
      <c r="J52" s="183"/>
      <c r="K52" s="183"/>
      <c r="L52" s="183"/>
      <c r="M52" s="277" t="str">
        <f>+IFERROR(IF(N52&lt;&gt;TRUNC(N52,2),".+ de 2 decim.",IF(COUNTA($H$29:$H$67)&lt;18,18-COUNTA($H$29:$H$68)&amp;" Items ptes.ofertar ",IF(AND($G$18&gt;0,$H$42&gt;0,(N52)/(N52)=1),"ok","mal"))),"¿max.min.ofertado?")</f>
        <v>¿max.min.ofertado?</v>
      </c>
      <c r="N52" s="183" t="str">
        <f>+IF(OR($G$18=0,LEN($G$18)=0),"",IF(OR($G$18&lt;0,+$G$18/$G$18&lt;&gt;1),"Total oferta Lote incorrecto (no numérico o negativo)",IF(AND($G$18&gt;0,$H$42&gt;0,H52&lt;=0),"¿importe ofertado?",IF(AND($G$18&gt;0,$H$37&lt;0),"acum.of.oferta sede &gt;oferta lote",IF(AND($G$18&gt;0,$H$42&gt;0,H52&lt;VLOOKUP(B52,'% admitidos'!A:M,11,FALSE)),+"min."&amp;VLOOKUP(B52,'% admitidos'!A:M,11,FALSE),IF(AND($G$18&gt;0,$H$42&gt;0,H52&gt;VLOOKUP(B52,'% admitidos'!A:M,13,FALSE)),+"max."&amp;VLOOKUP(B52,'% admitidos'!A:M,13,FALSE),+H52))))))</f>
        <v/>
      </c>
    </row>
    <row r="53" spans="1:23" ht="12" customHeight="1" thickTop="1" thickBot="1" x14ac:dyDescent="0.3">
      <c r="A53" s="147" t="s">
        <v>542</v>
      </c>
      <c r="B53" s="237" t="s">
        <v>390</v>
      </c>
      <c r="C53" s="248" t="str">
        <f>+IF(LEN('Anx I pg 1 oferta'!$C$56)&gt;0,"","min. "&amp;VLOOKUP(B52,'% admitidos'!A:M,11,FALSE)&amp;" - med.  "&amp;VLOOKUP(B52,'% admitidos'!A:M,12,FALSE)&amp;" - max.  "&amp;VLOOKUP(B52,'% admitidos'!A:M,13,FALSE))</f>
        <v>min. 0 - med.  0 - max.  0</v>
      </c>
      <c r="D53" s="135"/>
      <c r="E53" s="135"/>
      <c r="F53" s="136"/>
      <c r="G53" s="137"/>
      <c r="H53" s="138"/>
      <c r="J53" s="126"/>
      <c r="K53" s="126"/>
      <c r="L53" s="126"/>
      <c r="M53" s="279"/>
      <c r="N53" s="126"/>
    </row>
    <row r="54" spans="1:23" ht="15.75" thickBot="1" x14ac:dyDescent="0.3">
      <c r="A54" s="147" t="str">
        <f>+'Anx I pg 1 oferta'!$B$18&amp;"T2_L05_cab3(CA)"</f>
        <v>T2_L05_cab3(CA)</v>
      </c>
      <c r="B54" s="170" t="s">
        <v>390</v>
      </c>
      <c r="C54" s="171" t="s">
        <v>504</v>
      </c>
      <c r="D54" s="172"/>
      <c r="E54" s="172"/>
      <c r="F54" s="173"/>
      <c r="G54" s="173"/>
      <c r="H54" s="174"/>
      <c r="M54" s="12"/>
    </row>
    <row r="55" spans="1:23" ht="21.95" customHeight="1" thickBot="1" x14ac:dyDescent="0.3">
      <c r="A55" s="147" t="str">
        <f>+'Anx I pg 1 oferta'!$B$18&amp;"T2_L05_inst_"&amp;B55</f>
        <v>T2_L05_inst_L05-13</v>
      </c>
      <c r="B55" s="176" t="s">
        <v>228</v>
      </c>
      <c r="C55" s="177" t="str">
        <f>+VLOOKUP(B55,'DATOS CENTROS'!B:F,4,FALSE)</f>
        <v>C.E. OM MARRATXÍ</v>
      </c>
      <c r="D55" s="178"/>
      <c r="E55" s="179" t="str">
        <f>+VLOOKUP(B55,'DATOS CENTROS'!B:F,3,FALSE)</f>
        <v xml:space="preserve"> A + C</v>
      </c>
      <c r="F55" s="180">
        <f>+VLOOKUP(B55,'DATOS CENTROS'!B:F,5,FALSE)</f>
        <v>7.3999999999999996E-2</v>
      </c>
      <c r="G55" s="181" t="str">
        <f>+IF(OR($G$18=0,LEN($G$18)=0),"",+ROUND(((H55)/$G$18),6))</f>
        <v/>
      </c>
      <c r="H55" s="217"/>
      <c r="J55" s="183"/>
      <c r="K55" s="183"/>
      <c r="L55" s="183"/>
      <c r="M55" s="277" t="str">
        <f>+IFERROR(IF(N55&lt;&gt;TRUNC(N55,2),".+ de 2 decim.",IF(COUNTA($H$29:$H$67)&lt;18,18-COUNTA($H$29:$H$68)&amp;" Items ptes.ofertar ",IF(AND($G$18&gt;0,$H$42&gt;0,(N55)/(N55)=1),"ok","mal"))),"¿max.min.ofertado?")</f>
        <v>¿max.min.ofertado?</v>
      </c>
      <c r="N55" s="183" t="str">
        <f>+IF(OR($G$18=0,LEN($G$18)=0),"",IF(OR($G$18&lt;0,+$G$18/$G$18&lt;&gt;1),"Total oferta Lote incorrecto (no numérico o negativo)",IF(AND($G$18&gt;0,$H$42&gt;0,H55&lt;=0),"¿importe ofertado?",IF(AND($G$18&gt;0,$H$37&lt;0),"acum.of.oferta sede &gt;oferta lote",IF(AND($G$18&gt;0,$H$42&gt;0,H55&lt;VLOOKUP(B55,'% admitidos'!A:M,11,FALSE)),+"min."&amp;VLOOKUP(B55,'% admitidos'!A:M,11,FALSE),IF(AND($G$18&gt;0,$H$42&gt;0,H55&gt;VLOOKUP(B55,'% admitidos'!A:M,13,FALSE)),+"max."&amp;VLOOKUP(B55,'% admitidos'!A:M,13,FALSE),+H55))))))</f>
        <v/>
      </c>
    </row>
    <row r="56" spans="1:23" ht="12" customHeight="1" thickBot="1" x14ac:dyDescent="0.3">
      <c r="A56" s="147" t="s">
        <v>542</v>
      </c>
      <c r="B56" s="236" t="s">
        <v>390</v>
      </c>
      <c r="C56" s="240" t="str">
        <f>+IF(LEN('Anx I pg 1 oferta'!$C$56)&gt;0,"","min. "&amp;VLOOKUP(B55,'% admitidos'!A:M,11,FALSE)&amp;" - med.  "&amp;VLOOKUP(B55,'% admitidos'!A:M,12,FALSE)&amp;" - max.  "&amp;VLOOKUP(B55,'% admitidos'!A:M,13,FALSE))</f>
        <v>min. 0 - med.  0 - max.  0</v>
      </c>
      <c r="D56" s="61"/>
      <c r="E56" s="61"/>
      <c r="F56" s="67"/>
      <c r="G56" s="67"/>
      <c r="H56" s="123"/>
      <c r="J56" s="126"/>
      <c r="K56" s="126"/>
      <c r="L56" s="126"/>
      <c r="M56" s="279"/>
      <c r="N56" s="126"/>
    </row>
    <row r="57" spans="1:23" ht="21.95" customHeight="1" thickBot="1" x14ac:dyDescent="0.3">
      <c r="A57" s="147" t="str">
        <f>+'Anx I pg 1 oferta'!$B$18&amp;"T2_L05_inst_"&amp;B57</f>
        <v>T2_L05_inst_L05-14</v>
      </c>
      <c r="B57" s="186" t="s">
        <v>230</v>
      </c>
      <c r="C57" s="187" t="str">
        <f>+VLOOKUP(B57,'DATOS CENTROS'!B:F,4,FALSE)</f>
        <v>C.T. RTVE Islas Baleares</v>
      </c>
      <c r="D57" s="188"/>
      <c r="E57" s="189" t="str">
        <f>+VLOOKUP(B57,'DATOS CENTROS'!B:F,3,FALSE)</f>
        <v xml:space="preserve"> A + C</v>
      </c>
      <c r="F57" s="220">
        <f>+VLOOKUP(B57,'DATOS CENTROS'!B:F,5,FALSE)</f>
        <v>8.1000000000000003E-2</v>
      </c>
      <c r="G57" s="190" t="str">
        <f>+IF(OR($G$18=0,LEN($G$18)=0),"",+ROUND(((H57)/$G$18),6))</f>
        <v/>
      </c>
      <c r="H57" s="218"/>
      <c r="J57" s="183"/>
      <c r="K57" s="183"/>
      <c r="L57" s="183"/>
      <c r="M57" s="277" t="str">
        <f>+IFERROR(IF(N57&lt;&gt;TRUNC(N57,2),".+ de 2 decim.",IF(COUNTA($H$29:$H$67)&lt;18,18-COUNTA($H$29:$H$68)&amp;" Items ptes.ofertar ",IF(AND($G$18&gt;0,$H$42&gt;0,(N57)/(N57)=1),"ok","mal"))),"¿max.min.ofertado?")</f>
        <v>¿max.min.ofertado?</v>
      </c>
      <c r="N57" s="183" t="str">
        <f>+IF(OR($G$18=0,LEN($G$18)=0),"",IF(OR($G$18&lt;0,+$G$18/$G$18&lt;&gt;1),"Total oferta Lote incorrecto (no numérico o negativo)",IF(AND($G$18&gt;0,$H$42&gt;0,H57&lt;=0),"¿importe ofertado?",IF(AND($G$18&gt;0,$H$37&lt;0),"acum.of.oferta sede &gt;oferta lote",IF(AND($G$18&gt;0,$H$42&gt;0,H57&lt;VLOOKUP(B57,'% admitidos'!A:M,11,FALSE)),+"min."&amp;VLOOKUP(B57,'% admitidos'!A:M,11,FALSE),IF(AND($G$18&gt;0,$H$42&gt;0,H57&gt;VLOOKUP(B57,'% admitidos'!A:M,13,FALSE)),+"max."&amp;VLOOKUP(B57,'% admitidos'!A:M,13,FALSE),+H57))))))</f>
        <v/>
      </c>
    </row>
    <row r="58" spans="1:23" ht="12" customHeight="1" thickTop="1" thickBot="1" x14ac:dyDescent="0.3">
      <c r="A58" s="147" t="s">
        <v>542</v>
      </c>
      <c r="B58" s="152" t="s">
        <v>390</v>
      </c>
      <c r="C58" s="254" t="str">
        <f>+IF(LEN('Anx I pg 1 oferta'!$C$56)&gt;0,"","min. "&amp;VLOOKUP(B57,'% admitidos'!A:M,11,FALSE)&amp;" - med.  "&amp;VLOOKUP(B57,'% admitidos'!A:M,12,FALSE)&amp;" - max.  "&amp;VLOOKUP(B57,'% admitidos'!A:M,13,FALSE))</f>
        <v>min. 0 - med.  0 - max.  0</v>
      </c>
      <c r="D58" s="54"/>
      <c r="E58" s="54"/>
      <c r="F58" s="69"/>
      <c r="G58" s="69"/>
      <c r="H58" s="71"/>
      <c r="J58" s="126"/>
      <c r="K58" s="126"/>
      <c r="L58" s="126"/>
      <c r="M58" s="279"/>
      <c r="N58" s="126"/>
    </row>
    <row r="59" spans="1:23" ht="21.95" customHeight="1" thickBot="1" x14ac:dyDescent="0.3">
      <c r="A59" s="147" t="str">
        <f>+'Anx I pg 1 oferta'!$B$18&amp;"T2_L05_inst_"&amp;B59</f>
        <v>T2_L05_inst_L05-15</v>
      </c>
      <c r="B59" s="176" t="s">
        <v>232</v>
      </c>
      <c r="C59" s="177" t="str">
        <f>+VLOOKUP(B59,'DATOS CENTROS'!B:F,4,FALSE)</f>
        <v>D.I. RTVE Ibiza</v>
      </c>
      <c r="D59" s="178"/>
      <c r="E59" s="179" t="str">
        <f>+VLOOKUP(B59,'DATOS CENTROS'!B:F,3,FALSE)</f>
        <v>C</v>
      </c>
      <c r="F59" s="180">
        <f>+VLOOKUP(B59,'DATOS CENTROS'!B:F,5,FALSE)</f>
        <v>1.6E-2</v>
      </c>
      <c r="G59" s="181" t="str">
        <f>+IF(OR($G$18=0,LEN($G$18)=0),"",+ROUND(((H59)/$G$18),6))</f>
        <v/>
      </c>
      <c r="H59" s="217"/>
      <c r="J59" s="183"/>
      <c r="K59" s="183"/>
      <c r="L59" s="183"/>
      <c r="M59" s="277" t="str">
        <f>+IFERROR(IF(N59&lt;&gt;TRUNC(N59,2),".+ de 2 decim.",IF(COUNTA($H$29:$H$67)&lt;18,18-COUNTA($H$29:$H$68)&amp;" Items ptes.ofertar ",IF(AND($G$18&gt;0,$H$42&gt;0,(N59)/(N59)=1),"ok","mal"))),"¿max.min.ofertado?")</f>
        <v>¿max.min.ofertado?</v>
      </c>
      <c r="N59" s="183" t="str">
        <f>+IF(OR($G$18=0,LEN($G$18)=0),"",IF(OR($G$18&lt;0,+$G$18/$G$18&lt;&gt;1),"Total oferta Lote incorrecto (no numérico o negativo)",IF(AND($G$18&gt;0,$H$42&gt;0,H59&lt;=0),"¿importe ofertado?",IF(AND($G$18&gt;0,$H$37&lt;0),"acum.of.oferta sede &gt;oferta lote",IF(AND($G$18&gt;0,$H$42&gt;0,H59&lt;VLOOKUP(B59,'% admitidos'!A:M,11,FALSE)),+"min."&amp;VLOOKUP(B59,'% admitidos'!A:M,11,FALSE),IF(AND($G$18&gt;0,$H$42&gt;0,H59&gt;VLOOKUP(B59,'% admitidos'!A:M,13,FALSE)),+"max."&amp;+ROUND(VLOOKUP(B59,'% admitidos'!A:M,13,FALSE),4),+H59))))))</f>
        <v/>
      </c>
    </row>
    <row r="60" spans="1:23" ht="12" customHeight="1" thickTop="1" thickBot="1" x14ac:dyDescent="0.3">
      <c r="A60" s="147" t="s">
        <v>542</v>
      </c>
      <c r="B60" s="237" t="s">
        <v>390</v>
      </c>
      <c r="C60" s="248" t="str">
        <f>+IF(LEN('Anx I pg 1 oferta'!$C$56)&gt;0,"","min. "&amp;VLOOKUP(B59,'% admitidos'!A:M,11,FALSE)&amp;" - med.  "&amp;VLOOKUP(B59,'% admitidos'!A:M,12,FALSE)&amp;" - max.  "&amp;+ROUND(VLOOKUP(B59,'% admitidos'!A:M,13,FALSE),6))</f>
        <v>min. 0 - med.  0 - max.  0</v>
      </c>
      <c r="D60" s="135"/>
      <c r="E60" s="135"/>
      <c r="F60" s="135"/>
      <c r="G60" s="135"/>
      <c r="H60" s="144"/>
      <c r="J60" s="107"/>
      <c r="K60" s="107"/>
      <c r="L60" s="107"/>
      <c r="M60" s="279"/>
      <c r="N60" s="107"/>
    </row>
    <row r="61" spans="1:23" ht="15.75" thickBot="1" x14ac:dyDescent="0.3">
      <c r="A61" s="147" t="str">
        <f>+'Anx I pg 1 oferta'!$B$18&amp;"T2_L05_cab4(CA)"</f>
        <v>T2_L05_cab4(CA)</v>
      </c>
      <c r="B61" s="170" t="s">
        <v>390</v>
      </c>
      <c r="C61" s="171" t="s">
        <v>234</v>
      </c>
      <c r="D61" s="172"/>
      <c r="E61" s="172"/>
      <c r="F61" s="173"/>
      <c r="G61" s="173"/>
      <c r="H61" s="174"/>
      <c r="M61" s="12"/>
    </row>
    <row r="62" spans="1:23" ht="21.95" customHeight="1" thickBot="1" x14ac:dyDescent="0.3">
      <c r="A62" s="147" t="str">
        <f>+'Anx I pg 1 oferta'!$B$18&amp;"T2_L05_inst_"&amp;B62</f>
        <v>T2_L05_inst_L05-16</v>
      </c>
      <c r="B62" s="176" t="s">
        <v>235</v>
      </c>
      <c r="C62" s="177" t="str">
        <f>+VLOOKUP(B62,'DATOS CENTROS'!B:F,4,FALSE)</f>
        <v>C.T. RTVE Murcia</v>
      </c>
      <c r="D62" s="178"/>
      <c r="E62" s="179" t="str">
        <f>+VLOOKUP(B62,'DATOS CENTROS'!B:F,3,FALSE)</f>
        <v xml:space="preserve"> A + C</v>
      </c>
      <c r="F62" s="180">
        <f>+VLOOKUP(B62,'DATOS CENTROS'!B:F,5,FALSE)</f>
        <v>0.11</v>
      </c>
      <c r="G62" s="181" t="str">
        <f>+IF(OR($G$18=0,LEN($G$18)=0),"",+ROUND(((H62)/$G$18),6))</f>
        <v/>
      </c>
      <c r="H62" s="217"/>
      <c r="J62" s="183"/>
      <c r="K62" s="183"/>
      <c r="L62" s="183"/>
      <c r="M62" s="277" t="str">
        <f>+IFERROR(IF(N62&lt;&gt;TRUNC(N62,2),".+ de 2 decim.",IF(COUNTA($H$29:$H$67)&lt;18,18-COUNTA($H$29:$H$68)&amp;" Items ptes.ofertar ",IF(AND($G$18&gt;0,$H$42&gt;0,(N62)/(N62)=1),"ok","mal"))),"¿max.min.ofertado?")</f>
        <v>¿max.min.ofertado?</v>
      </c>
      <c r="N62" s="183" t="str">
        <f>+IF(OR($G$18=0,LEN($G$18)=0),"",IF(OR($G$18&lt;0,+$G$18/$G$18&lt;&gt;1),"Total oferta Lote incorrecto (no numérico o negativo)",IF(AND($G$18&gt;0,$H$42&gt;0,H62&lt;=0),"¿importe ofertado?",IF(AND($G$18&gt;0,$H$37&lt;0),"acum.of.oferta sede &gt;oferta lote",IF(AND($G$18&gt;0,$H$37&lt;&gt;0,H62&lt;VLOOKUP(B62,'% admitidos'!A:M,11,FALSE)),+"min."&amp;VLOOKUP(B62,'% admitidos'!A:M,11,FALSE),IF(AND($G$18&gt;0,$H$42&gt;0,H62&gt;VLOOKUP(B62,'% admitidos'!A:M,13,FALSE)),+"max."&amp;VLOOKUP(B62,'% admitidos'!A:M,13,FALSE),+H62))))))</f>
        <v/>
      </c>
      <c r="Q62" s="101"/>
      <c r="R62" s="101"/>
      <c r="S62" s="101"/>
      <c r="T62" s="101"/>
      <c r="U62" s="101"/>
      <c r="V62" s="101"/>
      <c r="W62" s="101"/>
    </row>
    <row r="63" spans="1:23" ht="12" customHeight="1" thickBot="1" x14ac:dyDescent="0.3">
      <c r="A63" s="147" t="s">
        <v>542</v>
      </c>
      <c r="B63" s="236" t="s">
        <v>390</v>
      </c>
      <c r="C63" s="240" t="str">
        <f>+IF(LEN('Anx I pg 1 oferta'!$C$56)&gt;0,"","min. "&amp;VLOOKUP(B62,'% admitidos'!A:M,11,FALSE)&amp;" - med.  "&amp;VLOOKUP(B62,'% admitidos'!A:M,12,FALSE)&amp;" - max.  "&amp;VLOOKUP(B62,'% admitidos'!A:M,13,FALSE))</f>
        <v>min. 0 - med.  0 - max.  0</v>
      </c>
      <c r="D63" s="61"/>
      <c r="E63" s="61"/>
      <c r="F63" s="67"/>
      <c r="G63" s="68"/>
      <c r="H63" s="123"/>
      <c r="J63" s="126"/>
      <c r="K63" s="126"/>
      <c r="L63" s="126"/>
      <c r="M63" s="279"/>
      <c r="N63" s="126"/>
    </row>
    <row r="64" spans="1:23" ht="21.95" customHeight="1" thickBot="1" x14ac:dyDescent="0.3">
      <c r="A64" s="147" t="str">
        <f>+'Anx I pg 1 oferta'!$B$18&amp;"T2_L05_inst_"&amp;B64</f>
        <v>T2_L05_inst_L05-17</v>
      </c>
      <c r="B64" s="186" t="s">
        <v>237</v>
      </c>
      <c r="C64" s="187" t="str">
        <f>+VLOOKUP(B64,'DATOS CENTROS'!B:F,4,FALSE)</f>
        <v>U.I. RTVE Cartagena</v>
      </c>
      <c r="D64" s="188"/>
      <c r="E64" s="189" t="str">
        <f>+VLOOKUP(B64,'DATOS CENTROS'!B:F,3,FALSE)</f>
        <v>C</v>
      </c>
      <c r="F64" s="220">
        <f>+VLOOKUP(B64,'DATOS CENTROS'!B:F,5,FALSE)</f>
        <v>1.6E-2</v>
      </c>
      <c r="G64" s="190" t="str">
        <f>+IF(OR($G$18=0,LEN($G$18)=0),"",+ROUND(((H64)/$G$18),6))</f>
        <v/>
      </c>
      <c r="H64" s="218"/>
      <c r="J64" s="183"/>
      <c r="K64" s="183"/>
      <c r="L64" s="183"/>
      <c r="M64" s="277" t="str">
        <f>+IFERROR(IF(N64&lt;&gt;TRUNC(N64,2),".+ de 2 decim.",IF(COUNTA($H$29:$H$67)&lt;18,18-COUNTA($H$29:$H$68)&amp;" Items ptes.ofertar ",IF(AND($G$18&gt;0,$H$42&gt;0,(N64)/(N64)=1),"ok","mal"))),"¿max.min.ofertado?")</f>
        <v>¿max.min.ofertado?</v>
      </c>
      <c r="N64" s="183" t="str">
        <f>+IF(OR($G$18=0,LEN($G$18)=0),"",IF(OR($G$18&lt;0,+$G$18/$G$18&lt;&gt;1),"Total oferta Lote incorrecto (no numérico o negativo)",IF(AND($G$18&gt;0,$H$42&gt;0,H64&lt;=0),"¿importe ofertado?",IF(AND($G$18&gt;0,$H$37&lt;0),"acum.of.oferta sede &gt;oferta lote",IF(AND($G$18&gt;0,$H$42&gt;0,H64&lt;VLOOKUP(B64,'% admitidos'!A:M,11,FALSE)),+"min."&amp;VLOOKUP(B64,'% admitidos'!A:M,11,FALSE),IF(AND($G$18&gt;0,$H$42&gt;0,H64&gt;VLOOKUP(B64,'% admitidos'!A:M,13,FALSE)),+"max."&amp;VLOOKUP(B64,'% admitidos'!A:M,13,FALSE),+H64))))))</f>
        <v/>
      </c>
    </row>
    <row r="65" spans="1:16" ht="12" customHeight="1" thickTop="1" thickBot="1" x14ac:dyDescent="0.3">
      <c r="A65" s="147" t="s">
        <v>542</v>
      </c>
      <c r="B65" s="152" t="s">
        <v>390</v>
      </c>
      <c r="C65" s="254" t="str">
        <f>+IF(LEN('Anx I pg 1 oferta'!$C$56)&gt;0,"","min. "&amp;VLOOKUP(B64,'% admitidos'!A:M,11,FALSE)&amp;" - med.  "&amp;VLOOKUP(B64,'% admitidos'!A:M,12,FALSE)&amp;" - max.  "&amp;VLOOKUP(B64,'% admitidos'!A:M,13,FALSE))</f>
        <v>min. 0 - med.  0 - max.  0</v>
      </c>
      <c r="D65" s="54"/>
      <c r="E65" s="54"/>
      <c r="F65" s="69"/>
      <c r="G65" s="70"/>
      <c r="H65" s="124"/>
      <c r="J65" s="126"/>
      <c r="K65" s="126"/>
      <c r="L65" s="126"/>
      <c r="M65" s="279"/>
      <c r="N65" s="126"/>
    </row>
    <row r="66" spans="1:16" ht="21.95" customHeight="1" thickBot="1" x14ac:dyDescent="0.3">
      <c r="A66" s="147" t="str">
        <f>+'Anx I pg 1 oferta'!$B$18&amp;"T2_L05_inst_"&amp;B66</f>
        <v>T2_L05_inst_L05-18</v>
      </c>
      <c r="B66" s="176" t="s">
        <v>239</v>
      </c>
      <c r="C66" s="177" t="str">
        <f>+VLOOKUP(B66,'DATOS CENTROS'!B:F,4,FALSE)</f>
        <v>S.U. Murcia (La Olma)</v>
      </c>
      <c r="D66" s="178"/>
      <c r="E66" s="179" t="str">
        <f>+VLOOKUP(B66,'DATOS CENTROS'!B:F,3,FALSE)</f>
        <v>C</v>
      </c>
      <c r="F66" s="180">
        <f>+VLOOKUP(B66,'DATOS CENTROS'!B:F,5,FALSE)</f>
        <v>3.5000000000000003E-2</v>
      </c>
      <c r="G66" s="181" t="str">
        <f>+IF(OR($G$18=0,LEN($G$18)=0),"",+ROUND(((H66)/$G$18),6))</f>
        <v/>
      </c>
      <c r="H66" s="217"/>
      <c r="J66" s="183"/>
      <c r="K66" s="183"/>
      <c r="L66" s="183"/>
      <c r="M66" s="277" t="str">
        <f>+IFERROR(IF(N66&lt;&gt;TRUNC(N66,2),".+ de 2 decim.",IF(COUNTA($H$29:$H$67)&lt;18,18-COUNTA($H$29:$H$68)&amp;" Items ptes.ofertar ",IF(AND($G$18&gt;0,$H$42&gt;0,(N66)/(N66)=1),"ok","mal"))),"¿max.min.ofertado?")</f>
        <v>¿max.min.ofertado?</v>
      </c>
      <c r="N66" s="183" t="str">
        <f>+IF(OR($G$18=0,LEN($G$18)=0),"",IF(OR($G$18&lt;0,+$G$18/$G$18&lt;&gt;1),"Total oferta Lote incorrecto (no numérico o negativo)",IF(AND($G$18&gt;0,$H$42&gt;0,H66&lt;=0),"¿importe ofertado?",IF(AND($G$18&gt;0,$H$37&lt;0),"acum.of.oferta sede &gt;oferta lote",IF(AND($G$18&gt;0,$H$42&gt;0,H66&lt;VLOOKUP(B66,'% admitidos'!A:M,11,FALSE)),+"min."&amp;VLOOKUP(B66,'% admitidos'!A:M,11,FALSE),IF(AND($G$18&gt;0,$H$42&gt;0,H66&gt;VLOOKUP(B66,'% admitidos'!A:M,13,FALSE)),+"max."&amp;VLOOKUP(B66,'% admitidos'!A:M,13,FALSE),+H66))))))</f>
        <v/>
      </c>
    </row>
    <row r="67" spans="1:16" ht="12" customHeight="1" thickBot="1" x14ac:dyDescent="0.3">
      <c r="A67" s="147" t="s">
        <v>542</v>
      </c>
      <c r="B67" s="236" t="s">
        <v>390</v>
      </c>
      <c r="C67" s="240" t="str">
        <f>+IF(LEN('Anx I pg 1 oferta'!$C$56)&gt;0,"","min. "&amp;VLOOKUP(B66,'% admitidos'!A:M,11,FALSE)&amp;" - med.  "&amp;VLOOKUP(B66,'% admitidos'!A:M,12,FALSE)&amp;" - max.  "&amp;VLOOKUP(B66,'% admitidos'!A:M,13,FALSE))</f>
        <v>min. 0 - med.  0 - max.  0</v>
      </c>
      <c r="D67" s="61"/>
      <c r="E67" s="61"/>
      <c r="F67" s="67"/>
      <c r="G67" s="67"/>
      <c r="H67" s="123"/>
      <c r="J67" s="87"/>
      <c r="N67" s="126"/>
    </row>
    <row r="68" spans="1:16" x14ac:dyDescent="0.25">
      <c r="A68" s="147" t="str">
        <f>+'Anx I pg 1 oferta'!$B$18&amp;"T2_L05_TOT"</f>
        <v>T2_L05_TOT</v>
      </c>
      <c r="B68" s="122"/>
      <c r="C68" s="122"/>
      <c r="D68" s="122"/>
      <c r="E68" s="122"/>
      <c r="F68" s="285">
        <f>SUM(F29:F67)</f>
        <v>1</v>
      </c>
      <c r="G68" s="286">
        <f>SUM(G29:G67)</f>
        <v>0</v>
      </c>
      <c r="H68" s="287">
        <f>SUM(H29:H67)</f>
        <v>0</v>
      </c>
      <c r="I68" s="15"/>
    </row>
    <row r="69" spans="1:16" x14ac:dyDescent="0.25">
      <c r="A69" s="147" t="s">
        <v>544</v>
      </c>
    </row>
    <row r="70" spans="1:16" x14ac:dyDescent="0.25">
      <c r="A70" s="147" t="s">
        <v>544</v>
      </c>
      <c r="M70" s="82"/>
      <c r="P70" s="82"/>
    </row>
    <row r="71" spans="1:16" x14ac:dyDescent="0.25">
      <c r="A71" s="147" t="s">
        <v>544</v>
      </c>
    </row>
    <row r="72" spans="1:16" ht="30" customHeight="1" x14ac:dyDescent="0.25">
      <c r="A72" s="147" t="s">
        <v>544</v>
      </c>
      <c r="B72" s="226" t="s">
        <v>530</v>
      </c>
    </row>
    <row r="73" spans="1:16" x14ac:dyDescent="0.25">
      <c r="A73" s="147" t="s">
        <v>544</v>
      </c>
    </row>
    <row r="74" spans="1:16" x14ac:dyDescent="0.25">
      <c r="A74" s="147" t="s">
        <v>544</v>
      </c>
      <c r="B74" s="2" t="s">
        <v>535</v>
      </c>
    </row>
    <row r="75" spans="1:16" ht="15.75" thickBot="1" x14ac:dyDescent="0.3">
      <c r="A75" s="147" t="s">
        <v>544</v>
      </c>
      <c r="B75" s="2" t="str">
        <f>+$B$11</f>
        <v>Lote  5 : CCAA Valencia, Castilla-La Mancha, Illes Balears y Murcia.</v>
      </c>
    </row>
    <row r="76" spans="1:16" ht="30" customHeight="1" thickBot="1" x14ac:dyDescent="0.3">
      <c r="A76" s="147" t="str">
        <f>+'Anx I pg 1 oferta'!$B$18&amp;"T3_L05_cab0a"</f>
        <v>T3_L05_cab0a</v>
      </c>
      <c r="B76" s="200" t="s">
        <v>59</v>
      </c>
      <c r="C76" s="200" t="s">
        <v>379</v>
      </c>
      <c r="D76" s="200" t="s">
        <v>60</v>
      </c>
      <c r="E76" s="200" t="s">
        <v>359</v>
      </c>
      <c r="F76" s="201" t="s">
        <v>378</v>
      </c>
      <c r="G76" s="105" t="s">
        <v>533</v>
      </c>
      <c r="H76" s="103" t="s">
        <v>360</v>
      </c>
      <c r="I76" s="103" t="s">
        <v>361</v>
      </c>
      <c r="J76" s="106" t="s">
        <v>380</v>
      </c>
      <c r="K76" s="274" t="s">
        <v>490</v>
      </c>
      <c r="L76" s="202"/>
    </row>
    <row r="77" spans="1:16" ht="15.75" thickBot="1" x14ac:dyDescent="0.3">
      <c r="A77" s="147" t="str">
        <f>+'Anx I pg 1 oferta'!$B$18&amp;"T3_L05_cab0b"</f>
        <v>T3_L05_cab0b</v>
      </c>
      <c r="B77" s="203" t="str">
        <f>+B27</f>
        <v>LOTE-05</v>
      </c>
      <c r="C77" s="204" t="str">
        <f>+C27</f>
        <v>(plazo de 3 meses)</v>
      </c>
      <c r="D77" s="205"/>
      <c r="E77" s="206"/>
      <c r="F77" s="207">
        <v>1</v>
      </c>
      <c r="G77" s="208"/>
      <c r="H77" s="205"/>
      <c r="I77" s="205"/>
      <c r="J77" s="205"/>
      <c r="K77" s="206"/>
      <c r="L77" s="202"/>
    </row>
    <row r="78" spans="1:16" ht="15.75" thickBot="1" x14ac:dyDescent="0.3">
      <c r="A78" s="147" t="str">
        <f>+'Anx I pg 1 oferta'!$B$18&amp;"T3_L05_cab1(CA)"</f>
        <v>T3_L05_cab1(CA)</v>
      </c>
      <c r="B78" s="209" t="s">
        <v>390</v>
      </c>
      <c r="C78" s="210" t="str">
        <f>+C28</f>
        <v>VALENCIA</v>
      </c>
      <c r="D78" s="211"/>
      <c r="E78" s="211"/>
      <c r="F78" s="211"/>
      <c r="G78" s="211"/>
      <c r="H78" s="211"/>
      <c r="I78" s="211"/>
      <c r="J78" s="211"/>
      <c r="K78" s="212">
        <f>+G18</f>
        <v>0</v>
      </c>
      <c r="L78" s="202"/>
    </row>
    <row r="79" spans="1:16" ht="15.75" thickBot="1" x14ac:dyDescent="0.3">
      <c r="A79" s="147" t="str">
        <f>+'Anx I pg 1 oferta'!$B$18&amp;"T3_L05_inst_"&amp;B79&amp;"DA1"</f>
        <v>T3_L05_inst_L05-01DA1</v>
      </c>
      <c r="B79" s="348" t="s">
        <v>201</v>
      </c>
      <c r="C79" s="351" t="str">
        <f>+VLOOKUP(B79,'DATOS CENTROS'!B:E,2,FALSE)</f>
        <v>Picayo</v>
      </c>
      <c r="D79" s="354" t="str">
        <f>+VLOOKUP(B79,'DATOS CENTROS'!B:E,3,FALSE)</f>
        <v xml:space="preserve"> A + C</v>
      </c>
      <c r="E79" s="357" t="str">
        <f>+VLOOKUP(B79,'DATOS CENTROS'!B:E,4,FALSE)</f>
        <v>C.E. FM PICAYO</v>
      </c>
      <c r="F79" s="360">
        <f>+VLOOKUP(B79,'DATOS CENTROS'!B:F,5,FALSE)</f>
        <v>3.9E-2</v>
      </c>
      <c r="G79" s="342" t="str">
        <f>+IF(G29&gt;0,G29,"")</f>
        <v/>
      </c>
      <c r="H79" s="213" t="s">
        <v>25</v>
      </c>
      <c r="I79" s="214">
        <v>0.15</v>
      </c>
      <c r="J79" s="215" t="e">
        <f>+IF($K$79&gt;0,+ROUND($K$79*I79,0),"")</f>
        <v>#VALUE!</v>
      </c>
      <c r="K79" s="345" t="str">
        <f>+IFERROR(IF(OR($G$18=0,LEN($G$18)=0),"",IF(AND(M29="ok",(H29/H29)=1),N29,"")),"¿?")</f>
        <v/>
      </c>
      <c r="L79" s="202"/>
    </row>
    <row r="80" spans="1:16" ht="15.75" thickBot="1" x14ac:dyDescent="0.3">
      <c r="A80" s="147" t="str">
        <f>+'Anx I pg 1 oferta'!$B$18&amp;"T3_L05_inst_"&amp;B79&amp;"DA2"</f>
        <v>T3_L05_inst_L05-01DA2</v>
      </c>
      <c r="B80" s="349"/>
      <c r="C80" s="352"/>
      <c r="D80" s="355"/>
      <c r="E80" s="358"/>
      <c r="F80" s="361"/>
      <c r="G80" s="343"/>
      <c r="H80" s="213" t="s">
        <v>26</v>
      </c>
      <c r="I80" s="214">
        <v>0.1</v>
      </c>
      <c r="J80" s="215" t="e">
        <f t="shared" ref="J80:J82" si="0">+IF($K$79&gt;0,+ROUND($K$79*I80,0),"")</f>
        <v>#VALUE!</v>
      </c>
      <c r="K80" s="346"/>
      <c r="L80" s="202"/>
    </row>
    <row r="81" spans="1:12" ht="15.75" thickBot="1" x14ac:dyDescent="0.3">
      <c r="A81" s="147" t="str">
        <f>+'Anx I pg 1 oferta'!$B$18&amp;"T3_L05_inst_"&amp;B79&amp;"DA3"</f>
        <v>T3_L05_inst_L05-01DA3</v>
      </c>
      <c r="B81" s="349"/>
      <c r="C81" s="352"/>
      <c r="D81" s="355"/>
      <c r="E81" s="358"/>
      <c r="F81" s="361"/>
      <c r="G81" s="343"/>
      <c r="H81" s="213" t="s">
        <v>27</v>
      </c>
      <c r="I81" s="214">
        <v>0.2</v>
      </c>
      <c r="J81" s="215" t="e">
        <f t="shared" si="0"/>
        <v>#VALUE!</v>
      </c>
      <c r="K81" s="346"/>
      <c r="L81" s="202"/>
    </row>
    <row r="82" spans="1:12" ht="15.75" thickBot="1" x14ac:dyDescent="0.3">
      <c r="A82" s="147" t="str">
        <f>+'Anx I pg 1 oferta'!$B$18&amp;"T3_L05_inst_"&amp;B79&amp;"DA4"</f>
        <v>T3_L05_inst_L05-01DA4</v>
      </c>
      <c r="B82" s="349"/>
      <c r="C82" s="352"/>
      <c r="D82" s="355"/>
      <c r="E82" s="358"/>
      <c r="F82" s="361"/>
      <c r="G82" s="343"/>
      <c r="H82" s="213" t="s">
        <v>57</v>
      </c>
      <c r="I82" s="214">
        <v>0.05</v>
      </c>
      <c r="J82" s="215" t="e">
        <f t="shared" si="0"/>
        <v>#VALUE!</v>
      </c>
      <c r="K82" s="346"/>
      <c r="L82" s="202"/>
    </row>
    <row r="83" spans="1:12" ht="15.75" thickBot="1" x14ac:dyDescent="0.3">
      <c r="A83" s="147" t="str">
        <f>+'Anx I pg 1 oferta'!$B$18&amp;"T3_L05_inst_"&amp;B79&amp;"DA5"</f>
        <v>T3_L05_inst_L05-01DA5</v>
      </c>
      <c r="B83" s="350"/>
      <c r="C83" s="353"/>
      <c r="D83" s="356"/>
      <c r="E83" s="359"/>
      <c r="F83" s="362"/>
      <c r="G83" s="344"/>
      <c r="H83" s="213" t="s">
        <v>364</v>
      </c>
      <c r="I83" s="214">
        <v>0.5</v>
      </c>
      <c r="J83" s="215" t="e">
        <f>+IF($K$79&gt;0,+$K$79-SUM(J79:J82),"")</f>
        <v>#VALUE!</v>
      </c>
      <c r="K83" s="347"/>
      <c r="L83" s="202"/>
    </row>
    <row r="84" spans="1:12" ht="15.75" customHeight="1" thickBot="1" x14ac:dyDescent="0.3">
      <c r="A84" s="147" t="str">
        <f>+'Anx I pg 1 oferta'!$B$18&amp;"T3_L05_inst_"&amp;B84&amp;"DA1"</f>
        <v>T3_L05_inst_L05-02DA1</v>
      </c>
      <c r="B84" s="348" t="s">
        <v>203</v>
      </c>
      <c r="C84" s="351" t="str">
        <f>+VLOOKUP(B84,'DATOS CENTROS'!B:E,2,FALSE)</f>
        <v>C/. Colón, 13, Plantas 3ª y 4ª.</v>
      </c>
      <c r="D84" s="354" t="str">
        <f>+VLOOKUP(B84,'DATOS CENTROS'!B:E,3,FALSE)</f>
        <v xml:space="preserve"> A + C</v>
      </c>
      <c r="E84" s="357" t="str">
        <f>+VLOOKUP(B84,'DATOS CENTROS'!B:E,4,FALSE)</f>
        <v>C.T. RNE Valencia</v>
      </c>
      <c r="F84" s="360">
        <f>+VLOOKUP(B84,'DATOS CENTROS'!B:F,5,FALSE)</f>
        <v>5.1999999999999998E-2</v>
      </c>
      <c r="G84" s="342" t="str">
        <f>+IF(G31&gt;0,G31,"")</f>
        <v/>
      </c>
      <c r="H84" s="213" t="s">
        <v>25</v>
      </c>
      <c r="I84" s="214">
        <v>0.15</v>
      </c>
      <c r="J84" s="215" t="e">
        <f>+IF($K$84&gt;0,+ROUND($K$84*I84,0),"")</f>
        <v>#VALUE!</v>
      </c>
      <c r="K84" s="345" t="str">
        <f>+IFERROR(IF(OR($G$18=0,LEN($G$18)=0),"",IF(AND(M31="ok",(H31/H31)=1),N31,"")),"¿?")</f>
        <v/>
      </c>
      <c r="L84" s="202"/>
    </row>
    <row r="85" spans="1:12" ht="15.75" thickBot="1" x14ac:dyDescent="0.3">
      <c r="A85" s="147" t="str">
        <f>+'Anx I pg 1 oferta'!$B$18&amp;"T3_L05_inst_"&amp;B84&amp;"DA2"</f>
        <v>T3_L05_inst_L05-02DA2</v>
      </c>
      <c r="B85" s="349"/>
      <c r="C85" s="352"/>
      <c r="D85" s="355"/>
      <c r="E85" s="358"/>
      <c r="F85" s="361"/>
      <c r="G85" s="343"/>
      <c r="H85" s="213" t="s">
        <v>26</v>
      </c>
      <c r="I85" s="214">
        <v>0.1</v>
      </c>
      <c r="J85" s="215" t="e">
        <f t="shared" ref="J85:J87" si="1">+IF($K$84&gt;0,+ROUND($K$84*I85,0),"")</f>
        <v>#VALUE!</v>
      </c>
      <c r="K85" s="346"/>
      <c r="L85" s="202"/>
    </row>
    <row r="86" spans="1:12" ht="15.75" thickBot="1" x14ac:dyDescent="0.3">
      <c r="A86" s="147" t="str">
        <f>+'Anx I pg 1 oferta'!$B$18&amp;"T3_L05_inst_"&amp;B84&amp;"DA3"</f>
        <v>T3_L05_inst_L05-02DA3</v>
      </c>
      <c r="B86" s="349"/>
      <c r="C86" s="352"/>
      <c r="D86" s="355"/>
      <c r="E86" s="358"/>
      <c r="F86" s="361"/>
      <c r="G86" s="343"/>
      <c r="H86" s="213" t="s">
        <v>27</v>
      </c>
      <c r="I86" s="214">
        <v>0.2</v>
      </c>
      <c r="J86" s="215" t="e">
        <f t="shared" si="1"/>
        <v>#VALUE!</v>
      </c>
      <c r="K86" s="346"/>
      <c r="L86" s="202"/>
    </row>
    <row r="87" spans="1:12" ht="15.75" thickBot="1" x14ac:dyDescent="0.3">
      <c r="A87" s="147" t="str">
        <f>+'Anx I pg 1 oferta'!$B$18&amp;"T3_L05_inst_"&amp;B84&amp;"DA4"</f>
        <v>T3_L05_inst_L05-02DA4</v>
      </c>
      <c r="B87" s="349"/>
      <c r="C87" s="352"/>
      <c r="D87" s="355"/>
      <c r="E87" s="358"/>
      <c r="F87" s="361"/>
      <c r="G87" s="343"/>
      <c r="H87" s="213" t="s">
        <v>57</v>
      </c>
      <c r="I87" s="214">
        <v>0.05</v>
      </c>
      <c r="J87" s="215" t="e">
        <f t="shared" si="1"/>
        <v>#VALUE!</v>
      </c>
      <c r="K87" s="346"/>
      <c r="L87" s="202"/>
    </row>
    <row r="88" spans="1:12" ht="15.75" thickBot="1" x14ac:dyDescent="0.3">
      <c r="A88" s="147" t="str">
        <f>+'Anx I pg 1 oferta'!$B$18&amp;"T3_L05_inst_"&amp;B84&amp;"DA5"</f>
        <v>T3_L05_inst_L05-02DA5</v>
      </c>
      <c r="B88" s="350"/>
      <c r="C88" s="353"/>
      <c r="D88" s="356"/>
      <c r="E88" s="359"/>
      <c r="F88" s="362"/>
      <c r="G88" s="344"/>
      <c r="H88" s="213" t="s">
        <v>364</v>
      </c>
      <c r="I88" s="214">
        <v>0.5</v>
      </c>
      <c r="J88" s="215" t="e">
        <f>+IF($K$84&gt;0,+$K$84-SUM(J84:J87),"")</f>
        <v>#VALUE!</v>
      </c>
      <c r="K88" s="347"/>
      <c r="L88" s="202"/>
    </row>
    <row r="89" spans="1:12" ht="15.75" thickBot="1" x14ac:dyDescent="0.3">
      <c r="A89" s="147" t="str">
        <f>+'Anx I pg 1 oferta'!$B$18&amp;"T3_L05_inst_"&amp;B89&amp;"DA1"</f>
        <v>T3_L05_inst_L05-03DA1</v>
      </c>
      <c r="B89" s="348" t="s">
        <v>205</v>
      </c>
      <c r="C89" s="351" t="str">
        <f>+VLOOKUP(B89,'DATOS CENTROS'!B:E,2,FALSE)</f>
        <v>Calle  Charles Robert Darwin    46980</v>
      </c>
      <c r="D89" s="363" t="str">
        <f>+VLOOKUP(B89,'DATOS CENTROS'!B:E,3,FALSE)</f>
        <v>C</v>
      </c>
      <c r="E89" s="357" t="str">
        <f>+VLOOKUP(B89,'DATOS CENTROS'!B:E,4,FALSE)</f>
        <v>C.T. TVE Valencia</v>
      </c>
      <c r="F89" s="360">
        <f>+VLOOKUP(B89,'DATOS CENTROS'!B:F,5,FALSE)</f>
        <v>3.5000000000000003E-2</v>
      </c>
      <c r="G89" s="342" t="str">
        <f>+IF(G33&gt;0,G33,"")</f>
        <v/>
      </c>
      <c r="H89" s="213" t="s">
        <v>25</v>
      </c>
      <c r="I89" s="214">
        <v>0.15</v>
      </c>
      <c r="J89" s="215" t="e">
        <f>+IF($K$89&gt;0,+ROUND($K$89*I89,0),"")</f>
        <v>#VALUE!</v>
      </c>
      <c r="K89" s="345" t="str">
        <f>+IFERROR(IF(OR($G$18=0,LEN($G$18)=0),"",IF(AND(M33="ok",(H33/H33)=1),N33,"")),"¿?")</f>
        <v/>
      </c>
      <c r="L89" s="202"/>
    </row>
    <row r="90" spans="1:12" ht="15.75" thickBot="1" x14ac:dyDescent="0.3">
      <c r="A90" s="147" t="str">
        <f>+'Anx I pg 1 oferta'!$B$18&amp;"T3_L05_inst_"&amp;B89&amp;"DA2"</f>
        <v>T3_L05_inst_L05-03DA2</v>
      </c>
      <c r="B90" s="349"/>
      <c r="C90" s="352"/>
      <c r="D90" s="364"/>
      <c r="E90" s="358"/>
      <c r="F90" s="361"/>
      <c r="G90" s="343"/>
      <c r="H90" s="213" t="s">
        <v>26</v>
      </c>
      <c r="I90" s="214">
        <v>0.1</v>
      </c>
      <c r="J90" s="215" t="e">
        <f t="shared" ref="J90:J92" si="2">+IF($K$89&gt;0,+ROUND($K$89*I90,0),"")</f>
        <v>#VALUE!</v>
      </c>
      <c r="K90" s="346"/>
      <c r="L90" s="202"/>
    </row>
    <row r="91" spans="1:12" ht="15.75" thickBot="1" x14ac:dyDescent="0.3">
      <c r="A91" s="147" t="str">
        <f>+'Anx I pg 1 oferta'!$B$18&amp;"T3_L05_inst_"&amp;B89&amp;"DA3"</f>
        <v>T3_L05_inst_L05-03DA3</v>
      </c>
      <c r="B91" s="349"/>
      <c r="C91" s="352"/>
      <c r="D91" s="364"/>
      <c r="E91" s="358"/>
      <c r="F91" s="361"/>
      <c r="G91" s="343"/>
      <c r="H91" s="213" t="s">
        <v>27</v>
      </c>
      <c r="I91" s="214">
        <v>0.2</v>
      </c>
      <c r="J91" s="215" t="e">
        <f t="shared" si="2"/>
        <v>#VALUE!</v>
      </c>
      <c r="K91" s="346"/>
      <c r="L91" s="202"/>
    </row>
    <row r="92" spans="1:12" ht="15.75" thickBot="1" x14ac:dyDescent="0.3">
      <c r="A92" s="147" t="str">
        <f>+'Anx I pg 1 oferta'!$B$18&amp;"T3_L05_inst_"&amp;B89&amp;"DA4"</f>
        <v>T3_L05_inst_L05-03DA4</v>
      </c>
      <c r="B92" s="349"/>
      <c r="C92" s="352"/>
      <c r="D92" s="364"/>
      <c r="E92" s="358"/>
      <c r="F92" s="361"/>
      <c r="G92" s="343"/>
      <c r="H92" s="213" t="s">
        <v>57</v>
      </c>
      <c r="I92" s="214">
        <v>0.05</v>
      </c>
      <c r="J92" s="215" t="e">
        <f t="shared" si="2"/>
        <v>#VALUE!</v>
      </c>
      <c r="K92" s="346"/>
      <c r="L92" s="202"/>
    </row>
    <row r="93" spans="1:12" ht="15.75" thickBot="1" x14ac:dyDescent="0.3">
      <c r="A93" s="147" t="str">
        <f>+'Anx I pg 1 oferta'!$B$18&amp;"T3_L05_inst_"&amp;B89&amp;"DA5"</f>
        <v>T3_L05_inst_L05-03DA5</v>
      </c>
      <c r="B93" s="350"/>
      <c r="C93" s="353"/>
      <c r="D93" s="365"/>
      <c r="E93" s="359"/>
      <c r="F93" s="362"/>
      <c r="G93" s="344"/>
      <c r="H93" s="213" t="s">
        <v>364</v>
      </c>
      <c r="I93" s="214">
        <v>0.5</v>
      </c>
      <c r="J93" s="215" t="e">
        <f>+IF($K$89&gt;0,+$K$89-SUM(J89:J92),"")</f>
        <v>#VALUE!</v>
      </c>
      <c r="K93" s="347"/>
      <c r="L93" s="202"/>
    </row>
    <row r="94" spans="1:12" ht="15.75" thickBot="1" x14ac:dyDescent="0.3">
      <c r="A94" s="147" t="str">
        <f>+'Anx I pg 1 oferta'!$B$18&amp;"T3_L05_inst_"&amp;B94&amp;"DA1"</f>
        <v>T3_L05_inst_L05-04DA1</v>
      </c>
      <c r="B94" s="348" t="s">
        <v>207</v>
      </c>
      <c r="C94" s="351" t="str">
        <f>+VLOOKUP(B94,'DATOS CENTROS'!B:E,2,FALSE)</f>
        <v>Avenida  Juan Carlos I 37   03202</v>
      </c>
      <c r="D94" s="354" t="str">
        <f>+VLOOKUP(B94,'DATOS CENTROS'!B:E,3,FALSE)</f>
        <v>C</v>
      </c>
      <c r="E94" s="357" t="str">
        <f>+VLOOKUP(B94,'DATOS CENTROS'!B:E,4,FALSE)</f>
        <v>S.U. Elche</v>
      </c>
      <c r="F94" s="360">
        <f>+VLOOKUP(B94,'DATOS CENTROS'!B:F,5,FALSE)</f>
        <v>1.6E-2</v>
      </c>
      <c r="G94" s="342" t="str">
        <f>+IF(G35&gt;0,G35,"")</f>
        <v/>
      </c>
      <c r="H94" s="213" t="s">
        <v>25</v>
      </c>
      <c r="I94" s="214">
        <v>0.15</v>
      </c>
      <c r="J94" s="215" t="e">
        <f>+IF($K$94&gt;0,+ROUND($K$94*I94,0),"")</f>
        <v>#VALUE!</v>
      </c>
      <c r="K94" s="345" t="str">
        <f>+IFERROR(IF(OR($G$18=0,LEN($G$18)=0),"",IF(AND(M35="ok",(H35/H35)=1),N35,"")),"¿?")</f>
        <v/>
      </c>
      <c r="L94" s="202"/>
    </row>
    <row r="95" spans="1:12" ht="15.75" thickBot="1" x14ac:dyDescent="0.3">
      <c r="A95" s="147" t="str">
        <f>+'Anx I pg 1 oferta'!$B$18&amp;"T3_L05_inst_"&amp;B94&amp;"DA2"</f>
        <v>T3_L05_inst_L05-04DA2</v>
      </c>
      <c r="B95" s="349"/>
      <c r="C95" s="352"/>
      <c r="D95" s="355"/>
      <c r="E95" s="358"/>
      <c r="F95" s="361"/>
      <c r="G95" s="343"/>
      <c r="H95" s="213" t="s">
        <v>26</v>
      </c>
      <c r="I95" s="214">
        <v>0.1</v>
      </c>
      <c r="J95" s="215" t="e">
        <f t="shared" ref="J95:J97" si="3">+IF($K$94&gt;0,+ROUND($K$94*I95,0),"")</f>
        <v>#VALUE!</v>
      </c>
      <c r="K95" s="346"/>
      <c r="L95" s="202"/>
    </row>
    <row r="96" spans="1:12" ht="15.75" thickBot="1" x14ac:dyDescent="0.3">
      <c r="A96" s="147" t="str">
        <f>+'Anx I pg 1 oferta'!$B$18&amp;"T3_L05_inst_"&amp;B94&amp;"DA3"</f>
        <v>T3_L05_inst_L05-04DA3</v>
      </c>
      <c r="B96" s="349"/>
      <c r="C96" s="352"/>
      <c r="D96" s="355"/>
      <c r="E96" s="358"/>
      <c r="F96" s="361"/>
      <c r="G96" s="343"/>
      <c r="H96" s="213" t="s">
        <v>27</v>
      </c>
      <c r="I96" s="214">
        <v>0.2</v>
      </c>
      <c r="J96" s="215" t="e">
        <f t="shared" si="3"/>
        <v>#VALUE!</v>
      </c>
      <c r="K96" s="346"/>
      <c r="L96" s="202"/>
    </row>
    <row r="97" spans="1:12" ht="15.75" thickBot="1" x14ac:dyDescent="0.3">
      <c r="A97" s="147" t="str">
        <f>+'Anx I pg 1 oferta'!$B$18&amp;"T3_L05_inst_"&amp;B94&amp;"DA4"</f>
        <v>T3_L05_inst_L05-04DA4</v>
      </c>
      <c r="B97" s="349"/>
      <c r="C97" s="352"/>
      <c r="D97" s="355"/>
      <c r="E97" s="358"/>
      <c r="F97" s="361"/>
      <c r="G97" s="343"/>
      <c r="H97" s="213" t="s">
        <v>57</v>
      </c>
      <c r="I97" s="214">
        <v>0.05</v>
      </c>
      <c r="J97" s="215" t="e">
        <f t="shared" si="3"/>
        <v>#VALUE!</v>
      </c>
      <c r="K97" s="346"/>
      <c r="L97" s="202"/>
    </row>
    <row r="98" spans="1:12" ht="15.75" thickBot="1" x14ac:dyDescent="0.3">
      <c r="A98" s="147" t="str">
        <f>+'Anx I pg 1 oferta'!$B$18&amp;"T3_L05_inst_"&amp;B94&amp;"DA5"</f>
        <v>T3_L05_inst_L05-04DA5</v>
      </c>
      <c r="B98" s="350"/>
      <c r="C98" s="353"/>
      <c r="D98" s="356"/>
      <c r="E98" s="359"/>
      <c r="F98" s="362"/>
      <c r="G98" s="344"/>
      <c r="H98" s="213" t="s">
        <v>364</v>
      </c>
      <c r="I98" s="214">
        <v>0.5</v>
      </c>
      <c r="J98" s="215" t="e">
        <f>+IF($K$94&gt;0,+$K$94-SUM(J94:J97),"")</f>
        <v>#VALUE!</v>
      </c>
      <c r="K98" s="347"/>
      <c r="L98" s="202"/>
    </row>
    <row r="99" spans="1:12" ht="15.75" thickBot="1" x14ac:dyDescent="0.3">
      <c r="A99" s="147" t="str">
        <f>+'Anx I pg 1 oferta'!$B$18&amp;"T3_L05_inst_"&amp;B99&amp;"DA1"</f>
        <v>T3_L05_inst_L05-05DA1</v>
      </c>
      <c r="B99" s="348" t="s">
        <v>209</v>
      </c>
      <c r="C99" s="351" t="str">
        <f>+VLOOKUP(B99,'DATOS CENTROS'!B:E,2,FALSE)</f>
        <v>Paseo  Ribalta 5 Plta. Entresuelo 5, 6 y 7 12001</v>
      </c>
      <c r="D99" s="354" t="str">
        <f>+VLOOKUP(B99,'DATOS CENTROS'!B:E,3,FALSE)</f>
        <v>C</v>
      </c>
      <c r="E99" s="357" t="str">
        <f>+VLOOKUP(B99,'DATOS CENTROS'!B:E,4,FALSE)</f>
        <v>U.I. RTVE Castellón</v>
      </c>
      <c r="F99" s="360">
        <f>+VLOOKUP(B99,'DATOS CENTROS'!B:F,5,FALSE)</f>
        <v>1.6E-2</v>
      </c>
      <c r="G99" s="342" t="str">
        <f>+IF(G37&gt;0,G37,"")</f>
        <v/>
      </c>
      <c r="H99" s="213" t="s">
        <v>25</v>
      </c>
      <c r="I99" s="214">
        <v>0.15</v>
      </c>
      <c r="J99" s="215" t="e">
        <f>+IF($K$99&gt;0,+ROUND($K$99*I99,0),"")</f>
        <v>#VALUE!</v>
      </c>
      <c r="K99" s="345" t="str">
        <f>+IFERROR(IF(OR($G$18=0,LEN($G$18)=0),"",IF(AND(M37="ok",(H37/H37)=1),N37,"")),"¿?")</f>
        <v/>
      </c>
      <c r="L99" s="202"/>
    </row>
    <row r="100" spans="1:12" ht="15.75" thickBot="1" x14ac:dyDescent="0.3">
      <c r="A100" s="147" t="str">
        <f>+'Anx I pg 1 oferta'!$B$18&amp;"T3_L05_inst_"&amp;B99&amp;"DA2"</f>
        <v>T3_L05_inst_L05-05DA2</v>
      </c>
      <c r="B100" s="349"/>
      <c r="C100" s="352"/>
      <c r="D100" s="355"/>
      <c r="E100" s="358"/>
      <c r="F100" s="361"/>
      <c r="G100" s="343"/>
      <c r="H100" s="213" t="s">
        <v>26</v>
      </c>
      <c r="I100" s="214">
        <v>0.1</v>
      </c>
      <c r="J100" s="215" t="e">
        <f t="shared" ref="J100:J102" si="4">+IF($K$99&gt;0,+ROUND($K$99*I100,0),"")</f>
        <v>#VALUE!</v>
      </c>
      <c r="K100" s="346"/>
      <c r="L100" s="202"/>
    </row>
    <row r="101" spans="1:12" ht="15.75" thickBot="1" x14ac:dyDescent="0.3">
      <c r="A101" s="147" t="str">
        <f>+'Anx I pg 1 oferta'!$B$18&amp;"T3_L05_inst_"&amp;B99&amp;"DA3"</f>
        <v>T3_L05_inst_L05-05DA3</v>
      </c>
      <c r="B101" s="349"/>
      <c r="C101" s="352"/>
      <c r="D101" s="355"/>
      <c r="E101" s="358"/>
      <c r="F101" s="361"/>
      <c r="G101" s="343"/>
      <c r="H101" s="213" t="s">
        <v>27</v>
      </c>
      <c r="I101" s="214">
        <v>0.2</v>
      </c>
      <c r="J101" s="215" t="e">
        <f t="shared" si="4"/>
        <v>#VALUE!</v>
      </c>
      <c r="K101" s="346"/>
      <c r="L101" s="202"/>
    </row>
    <row r="102" spans="1:12" ht="15.75" thickBot="1" x14ac:dyDescent="0.3">
      <c r="A102" s="147" t="str">
        <f>+'Anx I pg 1 oferta'!$B$18&amp;"T3_L05_inst_"&amp;B99&amp;"DA4"</f>
        <v>T3_L05_inst_L05-05DA4</v>
      </c>
      <c r="B102" s="349"/>
      <c r="C102" s="352"/>
      <c r="D102" s="355"/>
      <c r="E102" s="358"/>
      <c r="F102" s="361"/>
      <c r="G102" s="343"/>
      <c r="H102" s="213" t="s">
        <v>57</v>
      </c>
      <c r="I102" s="214">
        <v>0.05</v>
      </c>
      <c r="J102" s="215" t="e">
        <f t="shared" si="4"/>
        <v>#VALUE!</v>
      </c>
      <c r="K102" s="346"/>
      <c r="L102" s="202"/>
    </row>
    <row r="103" spans="1:12" ht="15.75" thickBot="1" x14ac:dyDescent="0.3">
      <c r="A103" s="147" t="str">
        <f>+'Anx I pg 1 oferta'!$B$18&amp;"T3_L05_inst_"&amp;B99&amp;"DA5"</f>
        <v>T3_L05_inst_L05-05DA5</v>
      </c>
      <c r="B103" s="350"/>
      <c r="C103" s="353"/>
      <c r="D103" s="356"/>
      <c r="E103" s="359"/>
      <c r="F103" s="362"/>
      <c r="G103" s="344"/>
      <c r="H103" s="213" t="s">
        <v>364</v>
      </c>
      <c r="I103" s="214">
        <v>0.5</v>
      </c>
      <c r="J103" s="215" t="e">
        <f>+IF($K$99&gt;0,+$K$99-SUM(J99:J102),"")</f>
        <v>#VALUE!</v>
      </c>
      <c r="K103" s="347"/>
      <c r="L103" s="202"/>
    </row>
    <row r="104" spans="1:12" ht="15.75" thickBot="1" x14ac:dyDescent="0.3">
      <c r="A104" s="147" t="str">
        <f>+'Anx I pg 1 oferta'!$B$18&amp;"T3_L05_cab2(CA)"</f>
        <v>T3_L05_cab2(CA)</v>
      </c>
      <c r="B104" s="209" t="s">
        <v>390</v>
      </c>
      <c r="C104" s="210" t="s">
        <v>211</v>
      </c>
      <c r="D104" s="211"/>
      <c r="E104" s="211"/>
      <c r="F104" s="211"/>
      <c r="G104" s="211"/>
      <c r="H104" s="211"/>
      <c r="I104" s="211"/>
      <c r="J104" s="211"/>
      <c r="K104" s="216"/>
      <c r="L104" s="202"/>
    </row>
    <row r="105" spans="1:12" ht="15.75" thickBot="1" x14ac:dyDescent="0.3">
      <c r="A105" s="147" t="str">
        <f>+'Anx I pg 1 oferta'!$B$18&amp;"T3_L05_inst_"&amp;B105&amp;"DA1"</f>
        <v>T3_L05_inst_L05-06DA1</v>
      </c>
      <c r="B105" s="348" t="s">
        <v>212</v>
      </c>
      <c r="C105" s="351" t="str">
        <f>+VLOOKUP(B105,'DATOS CENTROS'!B:E,2,FALSE)</f>
        <v>Almagro</v>
      </c>
      <c r="D105" s="354" t="str">
        <f>+VLOOKUP(B105,'DATOS CENTROS'!B:E,3,FALSE)</f>
        <v xml:space="preserve"> A + C</v>
      </c>
      <c r="E105" s="357" t="str">
        <f>+VLOOKUP(B105,'DATOS CENTROS'!B:E,4,FALSE)</f>
        <v>C.E. OM ALMAGRO</v>
      </c>
      <c r="F105" s="360">
        <f>+VLOOKUP(B105,'DATOS CENTROS'!B:F,5,FALSE)</f>
        <v>8.1000000000000003E-2</v>
      </c>
      <c r="G105" s="342" t="str">
        <f>+IF(G40&gt;0,G40,"")</f>
        <v/>
      </c>
      <c r="H105" s="213" t="s">
        <v>25</v>
      </c>
      <c r="I105" s="214">
        <v>0.15</v>
      </c>
      <c r="J105" s="215" t="e">
        <f>+IF($K$105&gt;0,+ROUND($K$105*I105,0),"")</f>
        <v>#VALUE!</v>
      </c>
      <c r="K105" s="345" t="str">
        <f>+IFERROR(IF(OR($G$18=0,LEN($G$18)=0),"",IF(AND(M40="ok",(H40/H40)=1),N40,"")),"¿?")</f>
        <v/>
      </c>
      <c r="L105" s="202"/>
    </row>
    <row r="106" spans="1:12" ht="15.75" thickBot="1" x14ac:dyDescent="0.3">
      <c r="A106" s="147" t="str">
        <f>+'Anx I pg 1 oferta'!$B$18&amp;"T3_L05_inst_"&amp;B105&amp;"DA2"</f>
        <v>T3_L05_inst_L05-06DA2</v>
      </c>
      <c r="B106" s="349"/>
      <c r="C106" s="352"/>
      <c r="D106" s="355"/>
      <c r="E106" s="358"/>
      <c r="F106" s="361"/>
      <c r="G106" s="343"/>
      <c r="H106" s="213" t="s">
        <v>26</v>
      </c>
      <c r="I106" s="214">
        <v>0.1</v>
      </c>
      <c r="J106" s="215" t="e">
        <f t="shared" ref="J106:J108" si="5">+IF($K$105&gt;0,+ROUND($K$105*I106,0),"")</f>
        <v>#VALUE!</v>
      </c>
      <c r="K106" s="346"/>
      <c r="L106" s="202"/>
    </row>
    <row r="107" spans="1:12" ht="15.75" thickBot="1" x14ac:dyDescent="0.3">
      <c r="A107" s="147" t="str">
        <f>+'Anx I pg 1 oferta'!$B$18&amp;"T3_L05_inst_"&amp;B105&amp;"DA3"</f>
        <v>T3_L05_inst_L05-06DA3</v>
      </c>
      <c r="B107" s="349"/>
      <c r="C107" s="352"/>
      <c r="D107" s="355"/>
      <c r="E107" s="358"/>
      <c r="F107" s="361"/>
      <c r="G107" s="343"/>
      <c r="H107" s="213" t="s">
        <v>27</v>
      </c>
      <c r="I107" s="214">
        <v>0.2</v>
      </c>
      <c r="J107" s="215" t="e">
        <f t="shared" si="5"/>
        <v>#VALUE!</v>
      </c>
      <c r="K107" s="346"/>
      <c r="L107" s="202"/>
    </row>
    <row r="108" spans="1:12" ht="15.75" thickBot="1" x14ac:dyDescent="0.3">
      <c r="A108" s="147" t="str">
        <f>+'Anx I pg 1 oferta'!$B$18&amp;"T3_L05_inst_"&amp;B105&amp;"DA4"</f>
        <v>T3_L05_inst_L05-06DA4</v>
      </c>
      <c r="B108" s="349"/>
      <c r="C108" s="352"/>
      <c r="D108" s="355"/>
      <c r="E108" s="358"/>
      <c r="F108" s="361"/>
      <c r="G108" s="343"/>
      <c r="H108" s="213" t="s">
        <v>57</v>
      </c>
      <c r="I108" s="214">
        <v>0.05</v>
      </c>
      <c r="J108" s="215" t="e">
        <f t="shared" si="5"/>
        <v>#VALUE!</v>
      </c>
      <c r="K108" s="346"/>
      <c r="L108" s="202"/>
    </row>
    <row r="109" spans="1:12" ht="15.75" thickBot="1" x14ac:dyDescent="0.3">
      <c r="A109" s="147" t="str">
        <f>+'Anx I pg 1 oferta'!$B$18&amp;"T3_L05_inst_"&amp;B105&amp;"DA5"</f>
        <v>T3_L05_inst_L05-06DA5</v>
      </c>
      <c r="B109" s="350"/>
      <c r="C109" s="353"/>
      <c r="D109" s="356"/>
      <c r="E109" s="359"/>
      <c r="F109" s="362"/>
      <c r="G109" s="344"/>
      <c r="H109" s="213" t="s">
        <v>364</v>
      </c>
      <c r="I109" s="214">
        <v>0.5</v>
      </c>
      <c r="J109" s="215" t="e">
        <f>+IF($K$105&gt;0,+$K$105-SUM(J105:J108),"")</f>
        <v>#VALUE!</v>
      </c>
      <c r="K109" s="347"/>
      <c r="L109" s="202"/>
    </row>
    <row r="110" spans="1:12" ht="15.75" customHeight="1" thickBot="1" x14ac:dyDescent="0.3">
      <c r="A110" s="147" t="str">
        <f>+'Anx I pg 1 oferta'!$B$18&amp;"T3_L05_inst_"&amp;B110&amp;"DA1"</f>
        <v>T3_L05_inst_L05-07DA1</v>
      </c>
      <c r="B110" s="348" t="s">
        <v>214</v>
      </c>
      <c r="C110" s="351" t="str">
        <f>+VLOOKUP(B110,'DATOS CENTROS'!B:E,2,FALSE)</f>
        <v>Noblejas</v>
      </c>
      <c r="D110" s="354" t="str">
        <f>+VLOOKUP(B110,'DATOS CENTROS'!B:E,3,FALSE)</f>
        <v xml:space="preserve"> A + C</v>
      </c>
      <c r="E110" s="357" t="str">
        <f>+VLOOKUP(B110,'DATOS CENTROS'!B:E,4,FALSE)</f>
        <v>C.E. OM NOBLEJAS</v>
      </c>
      <c r="F110" s="360">
        <f>+VLOOKUP(B110,'DATOS CENTROS'!B:F,5,FALSE)</f>
        <v>0.23499999999999999</v>
      </c>
      <c r="G110" s="342" t="str">
        <f>+IF(G42&gt;0,G42,"")</f>
        <v/>
      </c>
      <c r="H110" s="213" t="s">
        <v>25</v>
      </c>
      <c r="I110" s="214">
        <v>0.15</v>
      </c>
      <c r="J110" s="215" t="e">
        <f>+IF($K$110&gt;0,+ROUND($K$110*I110,0),"")</f>
        <v>#VALUE!</v>
      </c>
      <c r="K110" s="345" t="str">
        <f>+IFERROR(IF(OR($G$18=0,LEN($G$18)=0),"",IF(AND(M42="ok",(H42/H42)=1),N42,"")),"¿?")</f>
        <v/>
      </c>
      <c r="L110" s="202"/>
    </row>
    <row r="111" spans="1:12" ht="15.75" thickBot="1" x14ac:dyDescent="0.3">
      <c r="A111" s="147" t="str">
        <f>+'Anx I pg 1 oferta'!$B$18&amp;"T3_L05_inst_"&amp;B110&amp;"DA2"</f>
        <v>T3_L05_inst_L05-07DA2</v>
      </c>
      <c r="B111" s="349"/>
      <c r="C111" s="352"/>
      <c r="D111" s="355"/>
      <c r="E111" s="358"/>
      <c r="F111" s="361"/>
      <c r="G111" s="343"/>
      <c r="H111" s="213" t="s">
        <v>26</v>
      </c>
      <c r="I111" s="214">
        <v>0.1</v>
      </c>
      <c r="J111" s="215" t="e">
        <f t="shared" ref="J111:J113" si="6">+IF($K$110&gt;0,+ROUND($K$110*I111,0),"")</f>
        <v>#VALUE!</v>
      </c>
      <c r="K111" s="346"/>
      <c r="L111" s="202"/>
    </row>
    <row r="112" spans="1:12" ht="15.75" thickBot="1" x14ac:dyDescent="0.3">
      <c r="A112" s="147" t="str">
        <f>+'Anx I pg 1 oferta'!$B$18&amp;"T3_L05_inst_"&amp;B110&amp;"DA3"</f>
        <v>T3_L05_inst_L05-07DA3</v>
      </c>
      <c r="B112" s="349"/>
      <c r="C112" s="352"/>
      <c r="D112" s="355"/>
      <c r="E112" s="358"/>
      <c r="F112" s="361"/>
      <c r="G112" s="343"/>
      <c r="H112" s="213" t="s">
        <v>27</v>
      </c>
      <c r="I112" s="214">
        <v>0.2</v>
      </c>
      <c r="J112" s="215" t="e">
        <f t="shared" si="6"/>
        <v>#VALUE!</v>
      </c>
      <c r="K112" s="346"/>
      <c r="L112" s="202"/>
    </row>
    <row r="113" spans="1:12" ht="15.75" thickBot="1" x14ac:dyDescent="0.3">
      <c r="A113" s="147" t="str">
        <f>+'Anx I pg 1 oferta'!$B$18&amp;"T3_L05_inst_"&amp;B110&amp;"DA4"</f>
        <v>T3_L05_inst_L05-07DA4</v>
      </c>
      <c r="B113" s="349"/>
      <c r="C113" s="352"/>
      <c r="D113" s="355"/>
      <c r="E113" s="358"/>
      <c r="F113" s="361"/>
      <c r="G113" s="343"/>
      <c r="H113" s="213" t="s">
        <v>57</v>
      </c>
      <c r="I113" s="214">
        <v>0.05</v>
      </c>
      <c r="J113" s="215" t="e">
        <f t="shared" si="6"/>
        <v>#VALUE!</v>
      </c>
      <c r="K113" s="346"/>
      <c r="L113" s="202"/>
    </row>
    <row r="114" spans="1:12" ht="15.75" thickBot="1" x14ac:dyDescent="0.3">
      <c r="A114" s="147" t="str">
        <f>+'Anx I pg 1 oferta'!$B$18&amp;"T3_L05_inst_"&amp;B110&amp;"DA5"</f>
        <v>T3_L05_inst_L05-07DA5</v>
      </c>
      <c r="B114" s="350"/>
      <c r="C114" s="353"/>
      <c r="D114" s="356"/>
      <c r="E114" s="359"/>
      <c r="F114" s="362"/>
      <c r="G114" s="344"/>
      <c r="H114" s="213" t="s">
        <v>364</v>
      </c>
      <c r="I114" s="214">
        <v>0.5</v>
      </c>
      <c r="J114" s="215" t="e">
        <f>+IF($K$110&gt;0,+$K$110-SUM(J110:J113),"")</f>
        <v>#VALUE!</v>
      </c>
      <c r="K114" s="347"/>
      <c r="L114" s="202"/>
    </row>
    <row r="115" spans="1:12" ht="15.75" thickBot="1" x14ac:dyDescent="0.3">
      <c r="A115" s="147" t="str">
        <f>+'Anx I pg 1 oferta'!$B$18&amp;"T3_L05_inst_"&amp;B115&amp;"DA1"</f>
        <v>T3_L05_inst_L05-08DA1</v>
      </c>
      <c r="B115" s="348" t="s">
        <v>217</v>
      </c>
      <c r="C115" s="351" t="str">
        <f>+VLOOKUP(B115,'DATOS CENTROS'!B:E,2,FALSE)</f>
        <v>Talavera de la Reina</v>
      </c>
      <c r="D115" s="354" t="str">
        <f>+VLOOKUP(B115,'DATOS CENTROS'!B:E,3,FALSE)</f>
        <v xml:space="preserve"> A + C</v>
      </c>
      <c r="E115" s="357" t="str">
        <f>+VLOOKUP(B115,'DATOS CENTROS'!B:E,4,FALSE)</f>
        <v>C.E. TALAVERA</v>
      </c>
      <c r="F115" s="360">
        <f>+VLOOKUP(B115,'DATOS CENTROS'!B:F,5,FALSE)</f>
        <v>3.5000000000000003E-2</v>
      </c>
      <c r="G115" s="342" t="str">
        <f>+IF(G44&gt;0,G44,"")</f>
        <v/>
      </c>
      <c r="H115" s="213" t="s">
        <v>25</v>
      </c>
      <c r="I115" s="214">
        <v>0.15</v>
      </c>
      <c r="J115" s="215" t="e">
        <f>+IF($K$115&gt;0,+ROUND($K$115*I115,0),"")</f>
        <v>#VALUE!</v>
      </c>
      <c r="K115" s="345" t="str">
        <f>+IFERROR(IF(OR($G$18=0,LEN($G$18)=0),"",IF(AND(M44="ok",(H44/H44)=1),N44,"")),"¿?")</f>
        <v/>
      </c>
      <c r="L115" s="202"/>
    </row>
    <row r="116" spans="1:12" ht="15.75" thickBot="1" x14ac:dyDescent="0.3">
      <c r="A116" s="147" t="str">
        <f>+'Anx I pg 1 oferta'!$B$18&amp;"T3_L05_inst_"&amp;B115&amp;"DA2"</f>
        <v>T3_L05_inst_L05-08DA2</v>
      </c>
      <c r="B116" s="349"/>
      <c r="C116" s="352"/>
      <c r="D116" s="355"/>
      <c r="E116" s="358"/>
      <c r="F116" s="361"/>
      <c r="G116" s="343"/>
      <c r="H116" s="213" t="s">
        <v>26</v>
      </c>
      <c r="I116" s="214">
        <v>0.1</v>
      </c>
      <c r="J116" s="215" t="e">
        <f t="shared" ref="J116:J118" si="7">+IF($K$115&gt;0,+ROUND($K$115*I116,0),"")</f>
        <v>#VALUE!</v>
      </c>
      <c r="K116" s="346"/>
      <c r="L116" s="202"/>
    </row>
    <row r="117" spans="1:12" ht="15.75" thickBot="1" x14ac:dyDescent="0.3">
      <c r="A117" s="147" t="str">
        <f>+'Anx I pg 1 oferta'!$B$18&amp;"T3_L05_inst_"&amp;B115&amp;"DA3"</f>
        <v>T3_L05_inst_L05-08DA3</v>
      </c>
      <c r="B117" s="349"/>
      <c r="C117" s="352"/>
      <c r="D117" s="355"/>
      <c r="E117" s="358"/>
      <c r="F117" s="361"/>
      <c r="G117" s="343"/>
      <c r="H117" s="213" t="s">
        <v>27</v>
      </c>
      <c r="I117" s="214">
        <v>0.2</v>
      </c>
      <c r="J117" s="215" t="e">
        <f t="shared" si="7"/>
        <v>#VALUE!</v>
      </c>
      <c r="K117" s="346"/>
      <c r="L117" s="202"/>
    </row>
    <row r="118" spans="1:12" ht="15.75" thickBot="1" x14ac:dyDescent="0.3">
      <c r="A118" s="147" t="str">
        <f>+'Anx I pg 1 oferta'!$B$18&amp;"T3_L05_inst_"&amp;B115&amp;"DA4"</f>
        <v>T3_L05_inst_L05-08DA4</v>
      </c>
      <c r="B118" s="349"/>
      <c r="C118" s="352"/>
      <c r="D118" s="355"/>
      <c r="E118" s="358"/>
      <c r="F118" s="361"/>
      <c r="G118" s="343"/>
      <c r="H118" s="213" t="s">
        <v>57</v>
      </c>
      <c r="I118" s="214">
        <v>0.05</v>
      </c>
      <c r="J118" s="215" t="e">
        <f t="shared" si="7"/>
        <v>#VALUE!</v>
      </c>
      <c r="K118" s="346"/>
      <c r="L118" s="202"/>
    </row>
    <row r="119" spans="1:12" ht="15.75" thickBot="1" x14ac:dyDescent="0.3">
      <c r="A119" s="147" t="str">
        <f>+'Anx I pg 1 oferta'!$B$18&amp;"T3_L05_inst_"&amp;B115&amp;"DA5"</f>
        <v>T3_L05_inst_L05-08DA5</v>
      </c>
      <c r="B119" s="350"/>
      <c r="C119" s="353"/>
      <c r="D119" s="356"/>
      <c r="E119" s="359"/>
      <c r="F119" s="362"/>
      <c r="G119" s="344"/>
      <c r="H119" s="213" t="s">
        <v>364</v>
      </c>
      <c r="I119" s="214">
        <v>0.5</v>
      </c>
      <c r="J119" s="215" t="e">
        <f>+IF($K$115&gt;0,+$K$115-SUM(J115:J118),"")</f>
        <v>#VALUE!</v>
      </c>
      <c r="K119" s="347"/>
      <c r="L119" s="202"/>
    </row>
    <row r="120" spans="1:12" ht="15.75" thickBot="1" x14ac:dyDescent="0.3">
      <c r="A120" s="147" t="str">
        <f>+'Anx I pg 1 oferta'!$B$18&amp;"T3_L05_inst_"&amp;B120&amp;"DA1"</f>
        <v>T3_L05_inst_L05-09DA1</v>
      </c>
      <c r="B120" s="348" t="s">
        <v>219</v>
      </c>
      <c r="C120" s="351" t="str">
        <f>+VLOOKUP(B120,'DATOS CENTROS'!B:E,2,FALSE)</f>
        <v>Pº de San Eugenio, 23, Camino del Cementerio</v>
      </c>
      <c r="D120" s="354" t="str">
        <f>+VLOOKUP(B120,'DATOS CENTROS'!B:E,3,FALSE)</f>
        <v xml:space="preserve"> A + C</v>
      </c>
      <c r="E120" s="357" t="str">
        <f>+VLOOKUP(B120,'DATOS CENTROS'!B:E,4,FALSE)</f>
        <v>C.T. RTVE Toledo</v>
      </c>
      <c r="F120" s="360">
        <f>+VLOOKUP(B120,'DATOS CENTROS'!B:F,5,FALSE)</f>
        <v>9.4E-2</v>
      </c>
      <c r="G120" s="342" t="str">
        <f>+IF(G46&gt;0,G46,"")</f>
        <v/>
      </c>
      <c r="H120" s="213" t="s">
        <v>25</v>
      </c>
      <c r="I120" s="214">
        <v>0.15</v>
      </c>
      <c r="J120" s="215" t="e">
        <f>+IF($K$120&gt;0,+ROUND($K$120*I120,0),"")</f>
        <v>#VALUE!</v>
      </c>
      <c r="K120" s="345" t="str">
        <f>+IFERROR(IF(OR($G$18=0,LEN($G$18)=0),"",IF(AND(M46="ok",(H46/H46)=1),N46,"")),"¿?")</f>
        <v/>
      </c>
      <c r="L120" s="202"/>
    </row>
    <row r="121" spans="1:12" ht="15.75" thickBot="1" x14ac:dyDescent="0.3">
      <c r="A121" s="147" t="str">
        <f>+'Anx I pg 1 oferta'!$B$18&amp;"T3_L05_inst_"&amp;B120&amp;"DA2"</f>
        <v>T3_L05_inst_L05-09DA2</v>
      </c>
      <c r="B121" s="349"/>
      <c r="C121" s="352"/>
      <c r="D121" s="355"/>
      <c r="E121" s="358"/>
      <c r="F121" s="361"/>
      <c r="G121" s="343"/>
      <c r="H121" s="213" t="s">
        <v>26</v>
      </c>
      <c r="I121" s="214">
        <v>0.1</v>
      </c>
      <c r="J121" s="215" t="e">
        <f t="shared" ref="J121:J123" si="8">+IF($K$120&gt;0,+ROUND($K$120*I121,0),"")</f>
        <v>#VALUE!</v>
      </c>
      <c r="K121" s="346"/>
      <c r="L121" s="202"/>
    </row>
    <row r="122" spans="1:12" ht="15.75" thickBot="1" x14ac:dyDescent="0.3">
      <c r="A122" s="147" t="str">
        <f>+'Anx I pg 1 oferta'!$B$18&amp;"T3_L05_inst_"&amp;B120&amp;"DA3"</f>
        <v>T3_L05_inst_L05-09DA3</v>
      </c>
      <c r="B122" s="349"/>
      <c r="C122" s="352"/>
      <c r="D122" s="355"/>
      <c r="E122" s="358"/>
      <c r="F122" s="361"/>
      <c r="G122" s="343"/>
      <c r="H122" s="213" t="s">
        <v>27</v>
      </c>
      <c r="I122" s="214">
        <v>0.2</v>
      </c>
      <c r="J122" s="215" t="e">
        <f t="shared" si="8"/>
        <v>#VALUE!</v>
      </c>
      <c r="K122" s="346"/>
      <c r="L122" s="202"/>
    </row>
    <row r="123" spans="1:12" ht="15.75" thickBot="1" x14ac:dyDescent="0.3">
      <c r="A123" s="147" t="str">
        <f>+'Anx I pg 1 oferta'!$B$18&amp;"T3_L05_inst_"&amp;B120&amp;"DA4"</f>
        <v>T3_L05_inst_L05-09DA4</v>
      </c>
      <c r="B123" s="349"/>
      <c r="C123" s="352"/>
      <c r="D123" s="355"/>
      <c r="E123" s="358"/>
      <c r="F123" s="361"/>
      <c r="G123" s="343"/>
      <c r="H123" s="213" t="s">
        <v>57</v>
      </c>
      <c r="I123" s="214">
        <v>0.05</v>
      </c>
      <c r="J123" s="215" t="e">
        <f t="shared" si="8"/>
        <v>#VALUE!</v>
      </c>
      <c r="K123" s="346"/>
      <c r="L123" s="202"/>
    </row>
    <row r="124" spans="1:12" ht="15.75" thickBot="1" x14ac:dyDescent="0.3">
      <c r="A124" s="147" t="str">
        <f>+'Anx I pg 1 oferta'!$B$18&amp;"T3_L05_inst_"&amp;B120&amp;"DA5"</f>
        <v>T3_L05_inst_L05-09DA5</v>
      </c>
      <c r="B124" s="350"/>
      <c r="C124" s="353"/>
      <c r="D124" s="356"/>
      <c r="E124" s="359"/>
      <c r="F124" s="362"/>
      <c r="G124" s="344"/>
      <c r="H124" s="213" t="s">
        <v>364</v>
      </c>
      <c r="I124" s="214">
        <v>0.5</v>
      </c>
      <c r="J124" s="215" t="e">
        <f>+IF($K$120&gt;0,+$K$120-SUM(J120:J123),"")</f>
        <v>#VALUE!</v>
      </c>
      <c r="K124" s="347"/>
      <c r="L124" s="202"/>
    </row>
    <row r="125" spans="1:12" ht="15.75" thickBot="1" x14ac:dyDescent="0.3">
      <c r="A125" s="147" t="str">
        <f>+'Anx I pg 1 oferta'!$B$18&amp;"T3_L05_inst_"&amp;B125&amp;"DA1"</f>
        <v>T3_L05_inst_L05-10DA1</v>
      </c>
      <c r="B125" s="348" t="s">
        <v>221</v>
      </c>
      <c r="C125" s="351" t="str">
        <f>+VLOOKUP(B125,'DATOS CENTROS'!B:E,2,FALSE)</f>
        <v>Calle  Radio Nacional de España 2   16003</v>
      </c>
      <c r="D125" s="354" t="str">
        <f>+VLOOKUP(B125,'DATOS CENTROS'!B:E,3,FALSE)</f>
        <v>C</v>
      </c>
      <c r="E125" s="357" t="str">
        <f>+VLOOKUP(B125,'DATOS CENTROS'!B:E,4,FALSE)</f>
        <v>U.I. RTVE Cuenca</v>
      </c>
      <c r="F125" s="360">
        <f>+VLOOKUP(B125,'DATOS CENTROS'!B:F,5,FALSE)</f>
        <v>2.5999999999999999E-2</v>
      </c>
      <c r="G125" s="342" t="str">
        <f>+IF(G48&gt;0,G48,"")</f>
        <v/>
      </c>
      <c r="H125" s="213" t="s">
        <v>25</v>
      </c>
      <c r="I125" s="214">
        <v>0.15</v>
      </c>
      <c r="J125" s="215" t="e">
        <f>+IF($K$125&gt;0,+ROUND($K$125*I125,0),"")</f>
        <v>#VALUE!</v>
      </c>
      <c r="K125" s="345" t="str">
        <f>+IFERROR(IF(OR($G$18=0,LEN($G$18)=0),"",IF(AND(M48="ok",(H48/H48)=1),N48,"")),"¿?")</f>
        <v/>
      </c>
      <c r="L125" s="202"/>
    </row>
    <row r="126" spans="1:12" ht="15.75" thickBot="1" x14ac:dyDescent="0.3">
      <c r="A126" s="147" t="str">
        <f>+'Anx I pg 1 oferta'!$B$18&amp;"T3_L05_inst_"&amp;B125&amp;"DA2"</f>
        <v>T3_L05_inst_L05-10DA2</v>
      </c>
      <c r="B126" s="349"/>
      <c r="C126" s="352"/>
      <c r="D126" s="355"/>
      <c r="E126" s="358"/>
      <c r="F126" s="361"/>
      <c r="G126" s="343"/>
      <c r="H126" s="213" t="s">
        <v>26</v>
      </c>
      <c r="I126" s="214">
        <v>0.1</v>
      </c>
      <c r="J126" s="215" t="e">
        <f t="shared" ref="J126:J128" si="9">+IF($K$125&gt;0,+ROUND($K$125*I126,0),"")</f>
        <v>#VALUE!</v>
      </c>
      <c r="K126" s="346"/>
      <c r="L126" s="202"/>
    </row>
    <row r="127" spans="1:12" ht="15.75" thickBot="1" x14ac:dyDescent="0.3">
      <c r="A127" s="147" t="str">
        <f>+'Anx I pg 1 oferta'!$B$18&amp;"T3_L05_inst_"&amp;B125&amp;"DA3"</f>
        <v>T3_L05_inst_L05-10DA3</v>
      </c>
      <c r="B127" s="349"/>
      <c r="C127" s="352"/>
      <c r="D127" s="355"/>
      <c r="E127" s="358"/>
      <c r="F127" s="361"/>
      <c r="G127" s="343"/>
      <c r="H127" s="213" t="s">
        <v>27</v>
      </c>
      <c r="I127" s="214">
        <v>0.2</v>
      </c>
      <c r="J127" s="215" t="e">
        <f t="shared" si="9"/>
        <v>#VALUE!</v>
      </c>
      <c r="K127" s="346"/>
      <c r="L127" s="202"/>
    </row>
    <row r="128" spans="1:12" ht="15.75" thickBot="1" x14ac:dyDescent="0.3">
      <c r="A128" s="147" t="str">
        <f>+'Anx I pg 1 oferta'!$B$18&amp;"T3_L05_inst_"&amp;B125&amp;"DA4"</f>
        <v>T3_L05_inst_L05-10DA4</v>
      </c>
      <c r="B128" s="349"/>
      <c r="C128" s="352"/>
      <c r="D128" s="355"/>
      <c r="E128" s="358"/>
      <c r="F128" s="361"/>
      <c r="G128" s="343"/>
      <c r="H128" s="213" t="s">
        <v>57</v>
      </c>
      <c r="I128" s="214">
        <v>0.05</v>
      </c>
      <c r="J128" s="215" t="e">
        <f t="shared" si="9"/>
        <v>#VALUE!</v>
      </c>
      <c r="K128" s="346"/>
      <c r="L128" s="202"/>
    </row>
    <row r="129" spans="1:12" ht="15.75" thickBot="1" x14ac:dyDescent="0.3">
      <c r="A129" s="147" t="str">
        <f>+'Anx I pg 1 oferta'!$B$18&amp;"T3_L05_inst_"&amp;B125&amp;"DA5"</f>
        <v>T3_L05_inst_L05-10DA5</v>
      </c>
      <c r="B129" s="350"/>
      <c r="C129" s="353"/>
      <c r="D129" s="356"/>
      <c r="E129" s="359"/>
      <c r="F129" s="362"/>
      <c r="G129" s="344"/>
      <c r="H129" s="213" t="s">
        <v>364</v>
      </c>
      <c r="I129" s="214">
        <v>0.5</v>
      </c>
      <c r="J129" s="215" t="e">
        <f>+IF($K$125&gt;0,+$K$125-SUM(J125:J128),"")</f>
        <v>#VALUE!</v>
      </c>
      <c r="K129" s="347"/>
      <c r="L129" s="202"/>
    </row>
    <row r="130" spans="1:12" ht="15.75" thickBot="1" x14ac:dyDescent="0.3">
      <c r="A130" s="147" t="str">
        <f>+'Anx I pg 1 oferta'!$B$18&amp;"T3_L05_inst_"&amp;B130&amp;"DA1"</f>
        <v>T3_L05_inst_L05-11DA1</v>
      </c>
      <c r="B130" s="348" t="s">
        <v>223</v>
      </c>
      <c r="C130" s="351" t="str">
        <f>+VLOOKUP(B130,'DATOS CENTROS'!B:E,2,FALSE)</f>
        <v>Calle  Ntra. Sra. Araceli 1 Pl. Baja B  02001</v>
      </c>
      <c r="D130" s="354" t="str">
        <f>+VLOOKUP(B130,'DATOS CENTROS'!B:E,3,FALSE)</f>
        <v>C</v>
      </c>
      <c r="E130" s="357" t="str">
        <f>+VLOOKUP(B130,'DATOS CENTROS'!B:E,4,FALSE)</f>
        <v>U.I. RTVE Albacete</v>
      </c>
      <c r="F130" s="360">
        <f>+VLOOKUP(B130,'DATOS CENTROS'!B:F,5,FALSE)</f>
        <v>2.3E-2</v>
      </c>
      <c r="G130" s="342" t="str">
        <f>+IF(G50&gt;0,G50,"")</f>
        <v/>
      </c>
      <c r="H130" s="213" t="s">
        <v>25</v>
      </c>
      <c r="I130" s="214">
        <v>0.15</v>
      </c>
      <c r="J130" s="215" t="e">
        <f>+IF($K$130&gt;0,+ROUND($K$130*I130,0),"")</f>
        <v>#VALUE!</v>
      </c>
      <c r="K130" s="345" t="str">
        <f>+IFERROR(IF(OR($G$18=0,LEN($G$18)=0),"",IF(AND(M50="ok",(H50/H50)=1),N50,"")),"¿?")</f>
        <v/>
      </c>
      <c r="L130" s="202"/>
    </row>
    <row r="131" spans="1:12" ht="15.75" thickBot="1" x14ac:dyDescent="0.3">
      <c r="A131" s="147" t="str">
        <f>+'Anx I pg 1 oferta'!$B$18&amp;"T3_L05_inst_"&amp;B130&amp;"DA2"</f>
        <v>T3_L05_inst_L05-11DA2</v>
      </c>
      <c r="B131" s="349"/>
      <c r="C131" s="352"/>
      <c r="D131" s="355"/>
      <c r="E131" s="358"/>
      <c r="F131" s="361"/>
      <c r="G131" s="343"/>
      <c r="H131" s="213" t="s">
        <v>26</v>
      </c>
      <c r="I131" s="214">
        <v>0.1</v>
      </c>
      <c r="J131" s="215" t="e">
        <f t="shared" ref="J131:J133" si="10">+IF($K$130&gt;0,+ROUND($K$130*I131,0),"")</f>
        <v>#VALUE!</v>
      </c>
      <c r="K131" s="346"/>
      <c r="L131" s="202"/>
    </row>
    <row r="132" spans="1:12" ht="15.75" thickBot="1" x14ac:dyDescent="0.3">
      <c r="A132" s="147" t="str">
        <f>+'Anx I pg 1 oferta'!$B$18&amp;"T3_L05_inst_"&amp;B130&amp;"DA3"</f>
        <v>T3_L05_inst_L05-11DA3</v>
      </c>
      <c r="B132" s="349"/>
      <c r="C132" s="352"/>
      <c r="D132" s="355"/>
      <c r="E132" s="358"/>
      <c r="F132" s="361"/>
      <c r="G132" s="343"/>
      <c r="H132" s="213" t="s">
        <v>27</v>
      </c>
      <c r="I132" s="214">
        <v>0.2</v>
      </c>
      <c r="J132" s="215" t="e">
        <f t="shared" si="10"/>
        <v>#VALUE!</v>
      </c>
      <c r="K132" s="346"/>
      <c r="L132" s="202"/>
    </row>
    <row r="133" spans="1:12" ht="15.75" thickBot="1" x14ac:dyDescent="0.3">
      <c r="A133" s="147" t="str">
        <f>+'Anx I pg 1 oferta'!$B$18&amp;"T3_L05_inst_"&amp;B130&amp;"DA4"</f>
        <v>T3_L05_inst_L05-11DA4</v>
      </c>
      <c r="B133" s="349"/>
      <c r="C133" s="352"/>
      <c r="D133" s="355"/>
      <c r="E133" s="358"/>
      <c r="F133" s="361"/>
      <c r="G133" s="343"/>
      <c r="H133" s="213" t="s">
        <v>57</v>
      </c>
      <c r="I133" s="214">
        <v>0.05</v>
      </c>
      <c r="J133" s="215" t="e">
        <f t="shared" si="10"/>
        <v>#VALUE!</v>
      </c>
      <c r="K133" s="346"/>
      <c r="L133" s="202"/>
    </row>
    <row r="134" spans="1:12" ht="15.75" thickBot="1" x14ac:dyDescent="0.3">
      <c r="A134" s="147" t="str">
        <f>+'Anx I pg 1 oferta'!$B$18&amp;"T3_L05_inst_"&amp;B130&amp;"DA5"</f>
        <v>T3_L05_inst_L05-11DA5</v>
      </c>
      <c r="B134" s="350"/>
      <c r="C134" s="353"/>
      <c r="D134" s="356"/>
      <c r="E134" s="359"/>
      <c r="F134" s="362"/>
      <c r="G134" s="344"/>
      <c r="H134" s="213" t="s">
        <v>364</v>
      </c>
      <c r="I134" s="214">
        <v>0.5</v>
      </c>
      <c r="J134" s="215" t="e">
        <f>+IF($K$130&gt;0,+$K$130-SUM(J130:J133),"")</f>
        <v>#VALUE!</v>
      </c>
      <c r="K134" s="347"/>
      <c r="L134" s="202"/>
    </row>
    <row r="135" spans="1:12" ht="15.75" customHeight="1" thickBot="1" x14ac:dyDescent="0.3">
      <c r="A135" s="147" t="str">
        <f>+'Anx I pg 1 oferta'!$B$18&amp;"T3_L05_inst_"&amp;B135&amp;"DA1"</f>
        <v>T3_L05_inst_L05-12DA1</v>
      </c>
      <c r="B135" s="348" t="s">
        <v>225</v>
      </c>
      <c r="C135" s="351" t="str">
        <f>+VLOOKUP(B135,'DATOS CENTROS'!B:E,2,FALSE)</f>
        <v>Ronda  Cañillo 35 12º B y C  45600</v>
      </c>
      <c r="D135" s="354" t="str">
        <f>+VLOOKUP(B135,'DATOS CENTROS'!B:E,3,FALSE)</f>
        <v>C</v>
      </c>
      <c r="E135" s="357" t="str">
        <f>+VLOOKUP(B135,'DATOS CENTROS'!B:E,4,FALSE)</f>
        <v>D.I. RTVE Talavera de la Reina</v>
      </c>
      <c r="F135" s="360">
        <f>+VLOOKUP(B135,'DATOS CENTROS'!B:F,5,FALSE)</f>
        <v>1.6E-2</v>
      </c>
      <c r="G135" s="342" t="str">
        <f>+IF(G52&gt;0,G52,"")</f>
        <v/>
      </c>
      <c r="H135" s="213" t="s">
        <v>25</v>
      </c>
      <c r="I135" s="214">
        <v>0.15</v>
      </c>
      <c r="J135" s="215" t="e">
        <f>+IF($K$135&gt;0,+ROUND($K$135*I135,0),"")</f>
        <v>#VALUE!</v>
      </c>
      <c r="K135" s="345" t="str">
        <f>+IFERROR(IF(OR($G$18=0,LEN($G$18)=0),"",IF(AND(M52="ok",(H52/H52)=1),N52,"")),"¿?")</f>
        <v/>
      </c>
      <c r="L135" s="202"/>
    </row>
    <row r="136" spans="1:12" ht="15.75" thickBot="1" x14ac:dyDescent="0.3">
      <c r="A136" s="147" t="str">
        <f>+'Anx I pg 1 oferta'!$B$18&amp;"T3_L05_inst_"&amp;B135&amp;"DA2"</f>
        <v>T3_L05_inst_L05-12DA2</v>
      </c>
      <c r="B136" s="349"/>
      <c r="C136" s="352"/>
      <c r="D136" s="355"/>
      <c r="E136" s="358"/>
      <c r="F136" s="361"/>
      <c r="G136" s="343"/>
      <c r="H136" s="213" t="s">
        <v>26</v>
      </c>
      <c r="I136" s="214">
        <v>0.1</v>
      </c>
      <c r="J136" s="215" t="e">
        <f t="shared" ref="J136:J138" si="11">+IF($K$135&gt;0,+ROUND($K$135*I136,0),"")</f>
        <v>#VALUE!</v>
      </c>
      <c r="K136" s="346"/>
      <c r="L136" s="202"/>
    </row>
    <row r="137" spans="1:12" ht="15.75" thickBot="1" x14ac:dyDescent="0.3">
      <c r="A137" s="147" t="str">
        <f>+'Anx I pg 1 oferta'!$B$18&amp;"T3_L05_inst_"&amp;B135&amp;"DA3"</f>
        <v>T3_L05_inst_L05-12DA3</v>
      </c>
      <c r="B137" s="349"/>
      <c r="C137" s="352"/>
      <c r="D137" s="355"/>
      <c r="E137" s="358"/>
      <c r="F137" s="361"/>
      <c r="G137" s="343"/>
      <c r="H137" s="213" t="s">
        <v>27</v>
      </c>
      <c r="I137" s="214">
        <v>0.2</v>
      </c>
      <c r="J137" s="215" t="e">
        <f t="shared" si="11"/>
        <v>#VALUE!</v>
      </c>
      <c r="K137" s="346"/>
      <c r="L137" s="202"/>
    </row>
    <row r="138" spans="1:12" ht="15.75" thickBot="1" x14ac:dyDescent="0.3">
      <c r="A138" s="147" t="str">
        <f>+'Anx I pg 1 oferta'!$B$18&amp;"T3_L05_inst_"&amp;B135&amp;"DA4"</f>
        <v>T3_L05_inst_L05-12DA4</v>
      </c>
      <c r="B138" s="349"/>
      <c r="C138" s="352"/>
      <c r="D138" s="355"/>
      <c r="E138" s="358"/>
      <c r="F138" s="361"/>
      <c r="G138" s="343"/>
      <c r="H138" s="213" t="s">
        <v>57</v>
      </c>
      <c r="I138" s="214">
        <v>0.05</v>
      </c>
      <c r="J138" s="215" t="e">
        <f t="shared" si="11"/>
        <v>#VALUE!</v>
      </c>
      <c r="K138" s="346"/>
      <c r="L138" s="202"/>
    </row>
    <row r="139" spans="1:12" ht="15.75" thickBot="1" x14ac:dyDescent="0.3">
      <c r="A139" s="147" t="str">
        <f>+'Anx I pg 1 oferta'!$B$18&amp;"T3_L05_inst_"&amp;B135&amp;"DA5"</f>
        <v>T3_L05_inst_L05-12DA5</v>
      </c>
      <c r="B139" s="350"/>
      <c r="C139" s="353"/>
      <c r="D139" s="356"/>
      <c r="E139" s="359"/>
      <c r="F139" s="362"/>
      <c r="G139" s="344"/>
      <c r="H139" s="213" t="s">
        <v>364</v>
      </c>
      <c r="I139" s="214">
        <v>0.5</v>
      </c>
      <c r="J139" s="215" t="e">
        <f>+IF($K$135&gt;0,+$K$135-SUM(J135:J138),"")</f>
        <v>#VALUE!</v>
      </c>
      <c r="K139" s="347"/>
      <c r="L139" s="202"/>
    </row>
    <row r="140" spans="1:12" ht="15.75" thickBot="1" x14ac:dyDescent="0.3">
      <c r="A140" s="147" t="str">
        <f>+'Anx I pg 1 oferta'!$B$18&amp;"T3_L05_cab3(CA)"</f>
        <v>T3_L05_cab3(CA)</v>
      </c>
      <c r="B140" s="209" t="s">
        <v>390</v>
      </c>
      <c r="C140" s="210" t="s">
        <v>504</v>
      </c>
      <c r="D140" s="211"/>
      <c r="E140" s="211"/>
      <c r="F140" s="211"/>
      <c r="G140" s="211"/>
      <c r="H140" s="211"/>
      <c r="I140" s="211"/>
      <c r="J140" s="211"/>
      <c r="K140" s="216"/>
      <c r="L140" s="202"/>
    </row>
    <row r="141" spans="1:12" ht="15.75" thickBot="1" x14ac:dyDescent="0.3">
      <c r="A141" s="147" t="str">
        <f>+'Anx I pg 1 oferta'!$B$18&amp;"T3_L05_inst_"&amp;B141&amp;"DA1"</f>
        <v>T3_L05_inst_L05-13DA1</v>
      </c>
      <c r="B141" s="348" t="s">
        <v>228</v>
      </c>
      <c r="C141" s="351" t="str">
        <f>+VLOOKUP(B141,'DATOS CENTROS'!B:E,2,FALSE)</f>
        <v>Marratxí</v>
      </c>
      <c r="D141" s="354" t="str">
        <f>+VLOOKUP(B141,'DATOS CENTROS'!B:E,3,FALSE)</f>
        <v xml:space="preserve"> A + C</v>
      </c>
      <c r="E141" s="357" t="str">
        <f>+VLOOKUP(B141,'DATOS CENTROS'!B:E,4,FALSE)</f>
        <v>C.E. OM MARRATXÍ</v>
      </c>
      <c r="F141" s="360">
        <f>+VLOOKUP(B141,'DATOS CENTROS'!B:F,5,FALSE)</f>
        <v>7.3999999999999996E-2</v>
      </c>
      <c r="G141" s="342" t="str">
        <f>+IF(G55&gt;0,G55,"")</f>
        <v/>
      </c>
      <c r="H141" s="213" t="s">
        <v>25</v>
      </c>
      <c r="I141" s="214">
        <v>0.15</v>
      </c>
      <c r="J141" s="215" t="e">
        <f>+IF($K$141&gt;0,+ROUND($K$141*I141,0),"")</f>
        <v>#VALUE!</v>
      </c>
      <c r="K141" s="345" t="str">
        <f>+IFERROR(IF(OR($G$18=0,LEN($G$18)=0),"",IF(AND(M55="ok",(H55/H55)=1),N55,"")),"¿?")</f>
        <v/>
      </c>
      <c r="L141" s="202"/>
    </row>
    <row r="142" spans="1:12" ht="15.75" thickBot="1" x14ac:dyDescent="0.3">
      <c r="A142" s="147" t="str">
        <f>+'Anx I pg 1 oferta'!$B$18&amp;"T3_L05_inst_"&amp;B141&amp;"DA2"</f>
        <v>T3_L05_inst_L05-13DA2</v>
      </c>
      <c r="B142" s="349"/>
      <c r="C142" s="352"/>
      <c r="D142" s="355"/>
      <c r="E142" s="358"/>
      <c r="F142" s="361"/>
      <c r="G142" s="343"/>
      <c r="H142" s="213" t="s">
        <v>26</v>
      </c>
      <c r="I142" s="214">
        <v>0.1</v>
      </c>
      <c r="J142" s="215" t="e">
        <f t="shared" ref="J142:J144" si="12">+IF($K$141&gt;0,+ROUND($K$141*I142,0),"")</f>
        <v>#VALUE!</v>
      </c>
      <c r="K142" s="346"/>
      <c r="L142" s="202"/>
    </row>
    <row r="143" spans="1:12" ht="15.75" thickBot="1" x14ac:dyDescent="0.3">
      <c r="A143" s="147" t="str">
        <f>+'Anx I pg 1 oferta'!$B$18&amp;"T3_L05_inst_"&amp;B141&amp;"DA3"</f>
        <v>T3_L05_inst_L05-13DA3</v>
      </c>
      <c r="B143" s="349"/>
      <c r="C143" s="352"/>
      <c r="D143" s="355"/>
      <c r="E143" s="358"/>
      <c r="F143" s="361"/>
      <c r="G143" s="343"/>
      <c r="H143" s="213" t="s">
        <v>27</v>
      </c>
      <c r="I143" s="214">
        <v>0.2</v>
      </c>
      <c r="J143" s="215" t="e">
        <f t="shared" si="12"/>
        <v>#VALUE!</v>
      </c>
      <c r="K143" s="346"/>
      <c r="L143" s="202"/>
    </row>
    <row r="144" spans="1:12" ht="15.75" thickBot="1" x14ac:dyDescent="0.3">
      <c r="A144" s="147" t="str">
        <f>+'Anx I pg 1 oferta'!$B$18&amp;"T3_L05_inst_"&amp;B141&amp;"DA4"</f>
        <v>T3_L05_inst_L05-13DA4</v>
      </c>
      <c r="B144" s="349"/>
      <c r="C144" s="352"/>
      <c r="D144" s="355"/>
      <c r="E144" s="358"/>
      <c r="F144" s="361"/>
      <c r="G144" s="343"/>
      <c r="H144" s="213" t="s">
        <v>57</v>
      </c>
      <c r="I144" s="214">
        <v>0.05</v>
      </c>
      <c r="J144" s="215" t="e">
        <f t="shared" si="12"/>
        <v>#VALUE!</v>
      </c>
      <c r="K144" s="346"/>
      <c r="L144" s="202"/>
    </row>
    <row r="145" spans="1:12" ht="15.75" thickBot="1" x14ac:dyDescent="0.3">
      <c r="A145" s="147" t="str">
        <f>+'Anx I pg 1 oferta'!$B$18&amp;"T3_L05_inst_"&amp;B141&amp;"DA5"</f>
        <v>T3_L05_inst_L05-13DA5</v>
      </c>
      <c r="B145" s="350"/>
      <c r="C145" s="353"/>
      <c r="D145" s="356"/>
      <c r="E145" s="359"/>
      <c r="F145" s="362"/>
      <c r="G145" s="344"/>
      <c r="H145" s="213" t="s">
        <v>364</v>
      </c>
      <c r="I145" s="214">
        <v>0.5</v>
      </c>
      <c r="J145" s="215" t="e">
        <f>+IF($K$141&gt;0,+$K$141-SUM(J141:J144),"")</f>
        <v>#VALUE!</v>
      </c>
      <c r="K145" s="347"/>
      <c r="L145" s="202"/>
    </row>
    <row r="146" spans="1:12" ht="15.75" thickBot="1" x14ac:dyDescent="0.3">
      <c r="A146" s="147" t="str">
        <f>+'Anx I pg 1 oferta'!$B$18&amp;"T3_L05_inst_"&amp;B146&amp;"DA1"</f>
        <v>T3_L05_inst_L05-14DA1</v>
      </c>
      <c r="B146" s="348" t="s">
        <v>230</v>
      </c>
      <c r="C146" s="351" t="str">
        <f>+VLOOKUP(B146,'DATOS CENTROS'!B:E,2,FALSE)</f>
        <v>Aragón, 26, 1º A, B y C; y 2ºC</v>
      </c>
      <c r="D146" s="354" t="str">
        <f>+VLOOKUP(B146,'DATOS CENTROS'!B:E,3,FALSE)</f>
        <v xml:space="preserve"> A + C</v>
      </c>
      <c r="E146" s="357" t="str">
        <f>+VLOOKUP(B146,'DATOS CENTROS'!B:E,4,FALSE)</f>
        <v>C.T. RTVE Islas Baleares</v>
      </c>
      <c r="F146" s="360">
        <f>+VLOOKUP(B146,'DATOS CENTROS'!B:F,5,FALSE)</f>
        <v>8.1000000000000003E-2</v>
      </c>
      <c r="G146" s="342" t="str">
        <f>+IF(G57&gt;0,G57,"")</f>
        <v/>
      </c>
      <c r="H146" s="213" t="s">
        <v>25</v>
      </c>
      <c r="I146" s="214">
        <v>0.15</v>
      </c>
      <c r="J146" s="215" t="e">
        <f>+IF($K$146&gt;0,+ROUND($K$146*I146,0),"")</f>
        <v>#VALUE!</v>
      </c>
      <c r="K146" s="345" t="str">
        <f>+IFERROR(IF(OR($G$18=0,LEN($G$18)=0),"",IF(AND(M57="ok",(H57/H57)=1),N57,"")),"¿?")</f>
        <v/>
      </c>
      <c r="L146" s="202"/>
    </row>
    <row r="147" spans="1:12" ht="15.75" thickBot="1" x14ac:dyDescent="0.3">
      <c r="A147" s="147" t="str">
        <f>+'Anx I pg 1 oferta'!$B$18&amp;"T3_L05_inst_"&amp;B146&amp;"DA2"</f>
        <v>T3_L05_inst_L05-14DA2</v>
      </c>
      <c r="B147" s="349"/>
      <c r="C147" s="352"/>
      <c r="D147" s="355"/>
      <c r="E147" s="358"/>
      <c r="F147" s="361"/>
      <c r="G147" s="343"/>
      <c r="H147" s="213" t="s">
        <v>26</v>
      </c>
      <c r="I147" s="214">
        <v>0.1</v>
      </c>
      <c r="J147" s="215" t="e">
        <f t="shared" ref="J147:J149" si="13">+IF($K$146&gt;0,+ROUND($K$146*I147,0),"")</f>
        <v>#VALUE!</v>
      </c>
      <c r="K147" s="346"/>
      <c r="L147" s="202"/>
    </row>
    <row r="148" spans="1:12" ht="15.75" thickBot="1" x14ac:dyDescent="0.3">
      <c r="A148" s="147" t="str">
        <f>+'Anx I pg 1 oferta'!$B$18&amp;"T3_L05_inst_"&amp;B146&amp;"DA3"</f>
        <v>T3_L05_inst_L05-14DA3</v>
      </c>
      <c r="B148" s="349"/>
      <c r="C148" s="352"/>
      <c r="D148" s="355"/>
      <c r="E148" s="358"/>
      <c r="F148" s="361"/>
      <c r="G148" s="343"/>
      <c r="H148" s="213" t="s">
        <v>27</v>
      </c>
      <c r="I148" s="214">
        <v>0.2</v>
      </c>
      <c r="J148" s="215" t="e">
        <f t="shared" si="13"/>
        <v>#VALUE!</v>
      </c>
      <c r="K148" s="346"/>
      <c r="L148" s="202"/>
    </row>
    <row r="149" spans="1:12" ht="15.75" thickBot="1" x14ac:dyDescent="0.3">
      <c r="A149" s="147" t="str">
        <f>+'Anx I pg 1 oferta'!$B$18&amp;"T3_L05_inst_"&amp;B146&amp;"DA4"</f>
        <v>T3_L05_inst_L05-14DA4</v>
      </c>
      <c r="B149" s="349"/>
      <c r="C149" s="352"/>
      <c r="D149" s="355"/>
      <c r="E149" s="358"/>
      <c r="F149" s="361"/>
      <c r="G149" s="343"/>
      <c r="H149" s="213" t="s">
        <v>57</v>
      </c>
      <c r="I149" s="214">
        <v>0.05</v>
      </c>
      <c r="J149" s="215" t="e">
        <f t="shared" si="13"/>
        <v>#VALUE!</v>
      </c>
      <c r="K149" s="346"/>
      <c r="L149" s="202"/>
    </row>
    <row r="150" spans="1:12" ht="15.75" thickBot="1" x14ac:dyDescent="0.3">
      <c r="A150" s="147" t="str">
        <f>+'Anx I pg 1 oferta'!$B$18&amp;"T3_L05_inst_"&amp;B146&amp;"DA5"</f>
        <v>T3_L05_inst_L05-14DA5</v>
      </c>
      <c r="B150" s="350"/>
      <c r="C150" s="353"/>
      <c r="D150" s="356"/>
      <c r="E150" s="359"/>
      <c r="F150" s="362"/>
      <c r="G150" s="344"/>
      <c r="H150" s="213" t="s">
        <v>364</v>
      </c>
      <c r="I150" s="214">
        <v>0.5</v>
      </c>
      <c r="J150" s="215" t="e">
        <f>+IF($K$146&gt;0,+$K$146-SUM(J146:J149),"")</f>
        <v>#VALUE!</v>
      </c>
      <c r="K150" s="347"/>
      <c r="L150" s="202"/>
    </row>
    <row r="151" spans="1:12" ht="15.75" thickBot="1" x14ac:dyDescent="0.3">
      <c r="A151" s="147" t="str">
        <f>+'Anx I pg 1 oferta'!$B$18&amp;"T3_L05_inst_"&amp;B151&amp;"DA1"</f>
        <v>T3_L05_inst_L05-15DA1</v>
      </c>
      <c r="B151" s="348" t="s">
        <v>232</v>
      </c>
      <c r="C151" s="351" t="str">
        <f>+VLOOKUP(B151,'DATOS CENTROS'!B:E,2,FALSE)</f>
        <v>Calle  Extremadura 14 1º-2  07800</v>
      </c>
      <c r="D151" s="354" t="str">
        <f>+VLOOKUP(B151,'DATOS CENTROS'!B:E,3,FALSE)</f>
        <v>C</v>
      </c>
      <c r="E151" s="357" t="str">
        <f>+VLOOKUP(B151,'DATOS CENTROS'!B:E,4,FALSE)</f>
        <v>D.I. RTVE Ibiza</v>
      </c>
      <c r="F151" s="360">
        <f>+VLOOKUP(B151,'DATOS CENTROS'!B:F,5,FALSE)</f>
        <v>1.6E-2</v>
      </c>
      <c r="G151" s="342" t="str">
        <f>+IF(G59&gt;0,G59,"")</f>
        <v/>
      </c>
      <c r="H151" s="213" t="s">
        <v>25</v>
      </c>
      <c r="I151" s="214">
        <v>0.15</v>
      </c>
      <c r="J151" s="215" t="e">
        <f>+IF($K$151&gt;0,+ROUND($K$151*I151,0),"")</f>
        <v>#VALUE!</v>
      </c>
      <c r="K151" s="345" t="str">
        <f>+IFERROR(IF(OR($G$18=0,LEN($G$18)=0),"",IF(AND(M59="ok",(H59/H59)=1),N59,"")),"¿?")</f>
        <v/>
      </c>
      <c r="L151" s="202"/>
    </row>
    <row r="152" spans="1:12" ht="15.75" thickBot="1" x14ac:dyDescent="0.3">
      <c r="A152" s="147" t="str">
        <f>+'Anx I pg 1 oferta'!$B$18&amp;"T3_L05_inst_"&amp;B151&amp;"DA2"</f>
        <v>T3_L05_inst_L05-15DA2</v>
      </c>
      <c r="B152" s="349"/>
      <c r="C152" s="352"/>
      <c r="D152" s="355"/>
      <c r="E152" s="358"/>
      <c r="F152" s="361"/>
      <c r="G152" s="343"/>
      <c r="H152" s="213" t="s">
        <v>26</v>
      </c>
      <c r="I152" s="214">
        <v>0.1</v>
      </c>
      <c r="J152" s="215" t="e">
        <f t="shared" ref="J152:J154" si="14">+IF($K$151&gt;0,+ROUND($K$151*I152,0),"")</f>
        <v>#VALUE!</v>
      </c>
      <c r="K152" s="346"/>
      <c r="L152" s="202"/>
    </row>
    <row r="153" spans="1:12" ht="15.75" thickBot="1" x14ac:dyDescent="0.3">
      <c r="A153" s="147" t="str">
        <f>+'Anx I pg 1 oferta'!$B$18&amp;"T3_L05_inst_"&amp;B151&amp;"DA3"</f>
        <v>T3_L05_inst_L05-15DA3</v>
      </c>
      <c r="B153" s="349"/>
      <c r="C153" s="352"/>
      <c r="D153" s="355"/>
      <c r="E153" s="358"/>
      <c r="F153" s="361"/>
      <c r="G153" s="343"/>
      <c r="H153" s="213" t="s">
        <v>27</v>
      </c>
      <c r="I153" s="214">
        <v>0.2</v>
      </c>
      <c r="J153" s="215" t="e">
        <f t="shared" si="14"/>
        <v>#VALUE!</v>
      </c>
      <c r="K153" s="346"/>
      <c r="L153" s="202"/>
    </row>
    <row r="154" spans="1:12" ht="15.75" thickBot="1" x14ac:dyDescent="0.3">
      <c r="A154" s="147" t="str">
        <f>+'Anx I pg 1 oferta'!$B$18&amp;"T3_L05_inst_"&amp;B151&amp;"DA4"</f>
        <v>T3_L05_inst_L05-15DA4</v>
      </c>
      <c r="B154" s="349"/>
      <c r="C154" s="352"/>
      <c r="D154" s="355"/>
      <c r="E154" s="358"/>
      <c r="F154" s="361"/>
      <c r="G154" s="343"/>
      <c r="H154" s="213" t="s">
        <v>57</v>
      </c>
      <c r="I154" s="214">
        <v>0.05</v>
      </c>
      <c r="J154" s="215" t="e">
        <f t="shared" si="14"/>
        <v>#VALUE!</v>
      </c>
      <c r="K154" s="346"/>
      <c r="L154" s="202"/>
    </row>
    <row r="155" spans="1:12" ht="15.75" thickBot="1" x14ac:dyDescent="0.3">
      <c r="A155" s="147" t="str">
        <f>+'Anx I pg 1 oferta'!$B$18&amp;"T3_L05_inst_"&amp;B151&amp;"DA5"</f>
        <v>T3_L05_inst_L05-15DA5</v>
      </c>
      <c r="B155" s="350"/>
      <c r="C155" s="353"/>
      <c r="D155" s="356"/>
      <c r="E155" s="359"/>
      <c r="F155" s="362"/>
      <c r="G155" s="344"/>
      <c r="H155" s="213" t="s">
        <v>364</v>
      </c>
      <c r="I155" s="214">
        <v>0.5</v>
      </c>
      <c r="J155" s="215" t="e">
        <f>+IF($K$151&gt;0,+$K$151-SUM(J151:J154),"")</f>
        <v>#VALUE!</v>
      </c>
      <c r="K155" s="347"/>
      <c r="L155" s="202"/>
    </row>
    <row r="156" spans="1:12" ht="15.75" thickBot="1" x14ac:dyDescent="0.3">
      <c r="A156" s="147" t="str">
        <f>+'Anx I pg 1 oferta'!$B$18&amp;"T3_L05_cab4(CA)"</f>
        <v>T3_L05_cab4(CA)</v>
      </c>
      <c r="B156" s="209" t="s">
        <v>390</v>
      </c>
      <c r="C156" s="210" t="s">
        <v>234</v>
      </c>
      <c r="D156" s="211"/>
      <c r="E156" s="211"/>
      <c r="F156" s="211"/>
      <c r="G156" s="211"/>
      <c r="H156" s="211"/>
      <c r="I156" s="211"/>
      <c r="J156" s="211"/>
      <c r="K156" s="216"/>
      <c r="L156" s="202"/>
    </row>
    <row r="157" spans="1:12" ht="15.75" thickBot="1" x14ac:dyDescent="0.3">
      <c r="A157" s="147" t="str">
        <f>+'Anx I pg 1 oferta'!$B$18&amp;"T3_L05_inst_"&amp;B157&amp;"DA1"</f>
        <v>T3_L05_inst_L05-16DA1</v>
      </c>
      <c r="B157" s="348" t="s">
        <v>235</v>
      </c>
      <c r="C157" s="351" t="str">
        <f>+VLOOKUP(B157,'DATOS CENTROS'!B:E,2,FALSE)</f>
        <v>C/ Navegante Juan Fernández, 5</v>
      </c>
      <c r="D157" s="354" t="str">
        <f>+VLOOKUP(B157,'DATOS CENTROS'!B:E,3,FALSE)</f>
        <v xml:space="preserve"> A + C</v>
      </c>
      <c r="E157" s="357" t="str">
        <f>+VLOOKUP(B157,'DATOS CENTROS'!B:E,4,FALSE)</f>
        <v>C.T. RTVE Murcia</v>
      </c>
      <c r="F157" s="360">
        <f>+VLOOKUP(B157,'DATOS CENTROS'!B:F,5,FALSE)</f>
        <v>0.11</v>
      </c>
      <c r="G157" s="342" t="str">
        <f>+IF(G62&gt;0,G62,"")</f>
        <v/>
      </c>
      <c r="H157" s="213" t="s">
        <v>25</v>
      </c>
      <c r="I157" s="214">
        <v>0.15</v>
      </c>
      <c r="J157" s="215" t="e">
        <f>+IF($K$157&gt;0,+ROUND($K$157*I157,0),"")</f>
        <v>#VALUE!</v>
      </c>
      <c r="K157" s="345" t="str">
        <f>+IFERROR(IF(OR($G$18=0,LEN($G$18)=0),"",IF(AND(M62="ok",(H62/H62)=1),N62,"")),"¿?")</f>
        <v/>
      </c>
      <c r="L157" s="202"/>
    </row>
    <row r="158" spans="1:12" ht="15.75" thickBot="1" x14ac:dyDescent="0.3">
      <c r="A158" s="147" t="str">
        <f>+'Anx I pg 1 oferta'!$B$18&amp;"T3_L05_inst_"&amp;B157&amp;"DA2"</f>
        <v>T3_L05_inst_L05-16DA2</v>
      </c>
      <c r="B158" s="349"/>
      <c r="C158" s="352"/>
      <c r="D158" s="355"/>
      <c r="E158" s="358"/>
      <c r="F158" s="361"/>
      <c r="G158" s="343"/>
      <c r="H158" s="213" t="s">
        <v>26</v>
      </c>
      <c r="I158" s="214">
        <v>0.1</v>
      </c>
      <c r="J158" s="215" t="e">
        <f t="shared" ref="J158:J160" si="15">+IF($K$157&gt;0,+ROUND($K$157*I158,0),"")</f>
        <v>#VALUE!</v>
      </c>
      <c r="K158" s="346"/>
      <c r="L158" s="202"/>
    </row>
    <row r="159" spans="1:12" ht="15.75" thickBot="1" x14ac:dyDescent="0.3">
      <c r="A159" s="147" t="str">
        <f>+'Anx I pg 1 oferta'!$B$18&amp;"T3_L05_inst_"&amp;B157&amp;"DA3"</f>
        <v>T3_L05_inst_L05-16DA3</v>
      </c>
      <c r="B159" s="349"/>
      <c r="C159" s="352"/>
      <c r="D159" s="355"/>
      <c r="E159" s="358"/>
      <c r="F159" s="361"/>
      <c r="G159" s="343"/>
      <c r="H159" s="213" t="s">
        <v>27</v>
      </c>
      <c r="I159" s="214">
        <v>0.2</v>
      </c>
      <c r="J159" s="215" t="e">
        <f t="shared" si="15"/>
        <v>#VALUE!</v>
      </c>
      <c r="K159" s="346"/>
      <c r="L159" s="202"/>
    </row>
    <row r="160" spans="1:12" ht="15.75" thickBot="1" x14ac:dyDescent="0.3">
      <c r="A160" s="147" t="str">
        <f>+'Anx I pg 1 oferta'!$B$18&amp;"T3_L05_inst_"&amp;B157&amp;"DA4"</f>
        <v>T3_L05_inst_L05-16DA4</v>
      </c>
      <c r="B160" s="349"/>
      <c r="C160" s="352"/>
      <c r="D160" s="355"/>
      <c r="E160" s="358"/>
      <c r="F160" s="361"/>
      <c r="G160" s="343"/>
      <c r="H160" s="213" t="s">
        <v>57</v>
      </c>
      <c r="I160" s="214">
        <v>0.05</v>
      </c>
      <c r="J160" s="215" t="e">
        <f t="shared" si="15"/>
        <v>#VALUE!</v>
      </c>
      <c r="K160" s="346"/>
      <c r="L160" s="202"/>
    </row>
    <row r="161" spans="1:12" ht="15.75" thickBot="1" x14ac:dyDescent="0.3">
      <c r="A161" s="147" t="str">
        <f>+'Anx I pg 1 oferta'!$B$18&amp;"T3_L05_inst_"&amp;B157&amp;"DA5"</f>
        <v>T3_L05_inst_L05-16DA5</v>
      </c>
      <c r="B161" s="350"/>
      <c r="C161" s="353"/>
      <c r="D161" s="356"/>
      <c r="E161" s="359"/>
      <c r="F161" s="362"/>
      <c r="G161" s="344"/>
      <c r="H161" s="213" t="s">
        <v>364</v>
      </c>
      <c r="I161" s="214">
        <v>0.5</v>
      </c>
      <c r="J161" s="215" t="e">
        <f>+IF($K$157&gt;0,+$K$157-SUM(J157:J160),"")</f>
        <v>#VALUE!</v>
      </c>
      <c r="K161" s="347"/>
      <c r="L161" s="202"/>
    </row>
    <row r="162" spans="1:12" ht="15.75" customHeight="1" thickBot="1" x14ac:dyDescent="0.3">
      <c r="A162" s="147" t="str">
        <f>+'Anx I pg 1 oferta'!$B$18&amp;"T3_L05_inst_"&amp;B162&amp;"DA1"</f>
        <v>T3_L05_inst_L05-17DA1</v>
      </c>
      <c r="B162" s="348" t="s">
        <v>237</v>
      </c>
      <c r="C162" s="351" t="str">
        <f>+VLOOKUP(B162,'DATOS CENTROS'!B:E,2,FALSE)</f>
        <v>Paseo  Alfonso XIII 51   30203</v>
      </c>
      <c r="D162" s="354" t="str">
        <f>+VLOOKUP(B162,'DATOS CENTROS'!B:E,3,FALSE)</f>
        <v>C</v>
      </c>
      <c r="E162" s="357" t="str">
        <f>+VLOOKUP(B162,'DATOS CENTROS'!B:E,4,FALSE)</f>
        <v>U.I. RTVE Cartagena</v>
      </c>
      <c r="F162" s="360">
        <f>+VLOOKUP(B162,'DATOS CENTROS'!B:F,5,FALSE)</f>
        <v>1.6E-2</v>
      </c>
      <c r="G162" s="342" t="str">
        <f>+IF(G64&gt;0,G64,"")</f>
        <v/>
      </c>
      <c r="H162" s="213" t="s">
        <v>25</v>
      </c>
      <c r="I162" s="214">
        <v>0.15</v>
      </c>
      <c r="J162" s="215" t="e">
        <f>+IF($K$162&gt;0,+ROUND($K$162*I162,0),"")</f>
        <v>#VALUE!</v>
      </c>
      <c r="K162" s="345" t="str">
        <f>+IFERROR(IF(OR($G$18=0,LEN($G$18)=0),"",IF(AND(M64="ok",(H64/H64)=1),N64,"")),"¿?")</f>
        <v/>
      </c>
      <c r="L162" s="202"/>
    </row>
    <row r="163" spans="1:12" ht="15.75" thickBot="1" x14ac:dyDescent="0.3">
      <c r="A163" s="147" t="str">
        <f>+'Anx I pg 1 oferta'!$B$18&amp;"T3_L05_inst_"&amp;B162&amp;"DA2"</f>
        <v>T3_L05_inst_L05-17DA2</v>
      </c>
      <c r="B163" s="349"/>
      <c r="C163" s="352"/>
      <c r="D163" s="355"/>
      <c r="E163" s="358"/>
      <c r="F163" s="361"/>
      <c r="G163" s="343"/>
      <c r="H163" s="213" t="s">
        <v>26</v>
      </c>
      <c r="I163" s="214">
        <v>0.1</v>
      </c>
      <c r="J163" s="215" t="e">
        <f t="shared" ref="J163:J165" si="16">+IF($K$162&gt;0,+ROUND($K$162*I163,0),"")</f>
        <v>#VALUE!</v>
      </c>
      <c r="K163" s="346"/>
      <c r="L163" s="202"/>
    </row>
    <row r="164" spans="1:12" ht="15.75" thickBot="1" x14ac:dyDescent="0.3">
      <c r="A164" s="147" t="str">
        <f>+'Anx I pg 1 oferta'!$B$18&amp;"T3_L05_inst_"&amp;B162&amp;"DA3"</f>
        <v>T3_L05_inst_L05-17DA3</v>
      </c>
      <c r="B164" s="349"/>
      <c r="C164" s="352"/>
      <c r="D164" s="355"/>
      <c r="E164" s="358"/>
      <c r="F164" s="361"/>
      <c r="G164" s="343"/>
      <c r="H164" s="213" t="s">
        <v>27</v>
      </c>
      <c r="I164" s="214">
        <v>0.2</v>
      </c>
      <c r="J164" s="215" t="e">
        <f t="shared" si="16"/>
        <v>#VALUE!</v>
      </c>
      <c r="K164" s="346"/>
      <c r="L164" s="202"/>
    </row>
    <row r="165" spans="1:12" ht="15.75" thickBot="1" x14ac:dyDescent="0.3">
      <c r="A165" s="147" t="str">
        <f>+'Anx I pg 1 oferta'!$B$18&amp;"T3_L05_inst_"&amp;B162&amp;"DA4"</f>
        <v>T3_L05_inst_L05-17DA4</v>
      </c>
      <c r="B165" s="349"/>
      <c r="C165" s="352"/>
      <c r="D165" s="355"/>
      <c r="E165" s="358"/>
      <c r="F165" s="361"/>
      <c r="G165" s="343"/>
      <c r="H165" s="213" t="s">
        <v>57</v>
      </c>
      <c r="I165" s="214">
        <v>0.05</v>
      </c>
      <c r="J165" s="215" t="e">
        <f t="shared" si="16"/>
        <v>#VALUE!</v>
      </c>
      <c r="K165" s="346"/>
      <c r="L165" s="202"/>
    </row>
    <row r="166" spans="1:12" ht="15.75" thickBot="1" x14ac:dyDescent="0.3">
      <c r="A166" s="147" t="str">
        <f>+'Anx I pg 1 oferta'!$B$18&amp;"T3_L05_inst_"&amp;B162&amp;"DA5"</f>
        <v>T3_L05_inst_L05-17DA5</v>
      </c>
      <c r="B166" s="350"/>
      <c r="C166" s="353"/>
      <c r="D166" s="356"/>
      <c r="E166" s="359"/>
      <c r="F166" s="362"/>
      <c r="G166" s="344"/>
      <c r="H166" s="213" t="s">
        <v>364</v>
      </c>
      <c r="I166" s="214">
        <v>0.5</v>
      </c>
      <c r="J166" s="215" t="e">
        <f>+IF($K$162&gt;0,+$K$162-SUM(J162:J165),"")</f>
        <v>#VALUE!</v>
      </c>
      <c r="K166" s="347"/>
      <c r="L166" s="202"/>
    </row>
    <row r="167" spans="1:12" ht="15.75" thickBot="1" x14ac:dyDescent="0.3">
      <c r="A167" s="147" t="str">
        <f>+'Anx I pg 1 oferta'!$B$18&amp;"T3_L05_inst_"&amp;B167&amp;"DA1"</f>
        <v>T3_L05_inst_L05-18DA1</v>
      </c>
      <c r="B167" s="348" t="s">
        <v>239</v>
      </c>
      <c r="C167" s="351" t="str">
        <f>+VLOOKUP(B167,'DATOS CENTROS'!B:E,2,FALSE)</f>
        <v>C/  La Olma 27, 29 y 31 Piso plta. 1ºB, C y D y loc.; Ed Venus  30005</v>
      </c>
      <c r="D167" s="354" t="str">
        <f>+VLOOKUP(B167,'DATOS CENTROS'!B:E,3,FALSE)</f>
        <v>C</v>
      </c>
      <c r="E167" s="357" t="str">
        <f>+VLOOKUP(B167,'DATOS CENTROS'!B:E,4,FALSE)</f>
        <v>S.U. Murcia (La Olma)</v>
      </c>
      <c r="F167" s="360">
        <f>+VLOOKUP(B167,'DATOS CENTROS'!B:F,5,FALSE)</f>
        <v>3.5000000000000003E-2</v>
      </c>
      <c r="G167" s="342" t="str">
        <f>+IF(G66&gt;0,G66,"")</f>
        <v/>
      </c>
      <c r="H167" s="213" t="s">
        <v>25</v>
      </c>
      <c r="I167" s="214">
        <v>0.15</v>
      </c>
      <c r="J167" s="215" t="e">
        <f>+IF($K$167&gt;0,+ROUND($K$167*I167,0),"")</f>
        <v>#VALUE!</v>
      </c>
      <c r="K167" s="345" t="str">
        <f>+IFERROR(IF(OR($G$18=0,LEN($G$18)=0),"",IF(AND(M66="ok",(H66/H66)=1),N66,"")),"¿?")</f>
        <v/>
      </c>
      <c r="L167" s="202"/>
    </row>
    <row r="168" spans="1:12" ht="15.75" thickBot="1" x14ac:dyDescent="0.3">
      <c r="A168" s="147" t="str">
        <f>+'Anx I pg 1 oferta'!$B$18&amp;"T3_L05_inst_"&amp;B167&amp;"DA2"</f>
        <v>T3_L05_inst_L05-18DA2</v>
      </c>
      <c r="B168" s="349"/>
      <c r="C168" s="352"/>
      <c r="D168" s="355"/>
      <c r="E168" s="358"/>
      <c r="F168" s="361"/>
      <c r="G168" s="343"/>
      <c r="H168" s="213" t="s">
        <v>26</v>
      </c>
      <c r="I168" s="214">
        <v>0.1</v>
      </c>
      <c r="J168" s="215" t="e">
        <f t="shared" ref="J168:J170" si="17">+IF($K$167&gt;0,+ROUND($K$167*I168,0),"")</f>
        <v>#VALUE!</v>
      </c>
      <c r="K168" s="346"/>
      <c r="L168" s="202"/>
    </row>
    <row r="169" spans="1:12" ht="15.75" thickBot="1" x14ac:dyDescent="0.3">
      <c r="A169" s="147" t="str">
        <f>+'Anx I pg 1 oferta'!$B$18&amp;"T3_L05_inst_"&amp;B167&amp;"DA3"</f>
        <v>T3_L05_inst_L05-18DA3</v>
      </c>
      <c r="B169" s="349"/>
      <c r="C169" s="352"/>
      <c r="D169" s="355"/>
      <c r="E169" s="358"/>
      <c r="F169" s="361"/>
      <c r="G169" s="343"/>
      <c r="H169" s="213" t="s">
        <v>27</v>
      </c>
      <c r="I169" s="214">
        <v>0.2</v>
      </c>
      <c r="J169" s="215" t="e">
        <f t="shared" si="17"/>
        <v>#VALUE!</v>
      </c>
      <c r="K169" s="346"/>
      <c r="L169" s="202"/>
    </row>
    <row r="170" spans="1:12" ht="15.75" thickBot="1" x14ac:dyDescent="0.3">
      <c r="A170" s="147" t="str">
        <f>+'Anx I pg 1 oferta'!$B$18&amp;"T3_L05_inst_"&amp;B167&amp;"DA4"</f>
        <v>T3_L05_inst_L05-18DA4</v>
      </c>
      <c r="B170" s="349"/>
      <c r="C170" s="352"/>
      <c r="D170" s="355"/>
      <c r="E170" s="358"/>
      <c r="F170" s="361"/>
      <c r="G170" s="343"/>
      <c r="H170" s="213" t="s">
        <v>57</v>
      </c>
      <c r="I170" s="214">
        <v>0.05</v>
      </c>
      <c r="J170" s="215" t="e">
        <f t="shared" si="17"/>
        <v>#VALUE!</v>
      </c>
      <c r="K170" s="346"/>
      <c r="L170" s="202"/>
    </row>
    <row r="171" spans="1:12" ht="15.75" thickBot="1" x14ac:dyDescent="0.3">
      <c r="A171" s="147" t="str">
        <f>+'Anx I pg 1 oferta'!$B$18&amp;"T3_L05_inst_"&amp;B167&amp;"DA5"</f>
        <v>T3_L05_inst_L05-18DA5</v>
      </c>
      <c r="B171" s="350"/>
      <c r="C171" s="353"/>
      <c r="D171" s="356"/>
      <c r="E171" s="359"/>
      <c r="F171" s="362"/>
      <c r="G171" s="344"/>
      <c r="H171" s="213" t="s">
        <v>364</v>
      </c>
      <c r="I171" s="214">
        <v>0.5</v>
      </c>
      <c r="J171" s="215" t="e">
        <f>+IF($K$167&gt;0,+$K$167-SUM(J167:J170),"")</f>
        <v>#VALUE!</v>
      </c>
      <c r="K171" s="347"/>
      <c r="L171" s="202"/>
    </row>
    <row r="172" spans="1:12" x14ac:dyDescent="0.25">
      <c r="A172" s="147" t="str">
        <f>+'Anx I pg 1 oferta'!$B$18&amp;"T3_L05_TOT"</f>
        <v>T3_L05_TOT</v>
      </c>
      <c r="B172" s="278" t="s">
        <v>390</v>
      </c>
      <c r="C172" s="122"/>
      <c r="D172" s="122"/>
      <c r="E172" s="122"/>
      <c r="F172" s="285">
        <f>SUM(F79:F171)</f>
        <v>1</v>
      </c>
      <c r="G172" s="285">
        <f>SUM(G79:G171)</f>
        <v>0</v>
      </c>
      <c r="H172" s="122"/>
      <c r="I172" s="122"/>
      <c r="J172" s="287" t="e">
        <f>SUM(J79:J171)</f>
        <v>#VALUE!</v>
      </c>
      <c r="K172" s="287">
        <f>SUM(K79:K171)</f>
        <v>0</v>
      </c>
    </row>
    <row r="173" spans="1:12" x14ac:dyDescent="0.25">
      <c r="A173" s="147" t="s">
        <v>544</v>
      </c>
      <c r="B173" s="122" t="s">
        <v>390</v>
      </c>
      <c r="C173" s="122"/>
      <c r="D173" s="122"/>
      <c r="E173" s="122"/>
      <c r="F173" s="122"/>
      <c r="G173" s="122"/>
      <c r="H173" s="122"/>
      <c r="I173" s="122"/>
      <c r="J173" s="122"/>
      <c r="K173" s="122"/>
    </row>
    <row r="174" spans="1:12" x14ac:dyDescent="0.25">
      <c r="A174" s="147" t="s">
        <v>544</v>
      </c>
      <c r="B174" s="122" t="s">
        <v>390</v>
      </c>
      <c r="C174" s="122"/>
      <c r="D174" s="122"/>
      <c r="E174" s="122"/>
      <c r="F174" s="122"/>
      <c r="G174" s="122"/>
      <c r="H174" s="122"/>
      <c r="I174" s="122"/>
      <c r="J174" s="122"/>
      <c r="K174" s="122"/>
    </row>
    <row r="175" spans="1:12" x14ac:dyDescent="0.25">
      <c r="A175" s="122" t="s">
        <v>542</v>
      </c>
      <c r="B175" s="122" t="s">
        <v>390</v>
      </c>
      <c r="C175" s="122"/>
      <c r="D175" s="122"/>
      <c r="E175" s="122"/>
      <c r="F175" s="122"/>
      <c r="G175" s="122"/>
      <c r="H175" s="122"/>
      <c r="I175" s="122" t="s">
        <v>372</v>
      </c>
      <c r="J175" s="284" t="e">
        <f>+J79+J84+J89+J94+J99+J105+J110+J115+J120+J125+J130+J135+J141+J146+J151+J157+J162+J167</f>
        <v>#VALUE!</v>
      </c>
      <c r="K175" s="122"/>
    </row>
    <row r="176" spans="1:12" x14ac:dyDescent="0.25">
      <c r="A176" s="122" t="s">
        <v>542</v>
      </c>
      <c r="B176" s="122" t="s">
        <v>390</v>
      </c>
      <c r="C176" s="122"/>
      <c r="D176" s="122"/>
      <c r="E176" s="122"/>
      <c r="F176" s="122"/>
      <c r="G176" s="122"/>
      <c r="H176" s="122"/>
      <c r="I176" s="122" t="s">
        <v>374</v>
      </c>
      <c r="J176" s="284" t="e">
        <f>+J80+J85+J90+J95+J100+J106+J111+J116+J121+J126+J131+J136+J142+J147+J152+J158+J163+J168</f>
        <v>#VALUE!</v>
      </c>
      <c r="K176" s="122"/>
    </row>
    <row r="177" spans="1:11" x14ac:dyDescent="0.25">
      <c r="A177" s="122" t="s">
        <v>542</v>
      </c>
      <c r="B177" s="122" t="s">
        <v>390</v>
      </c>
      <c r="C177" s="122"/>
      <c r="D177" s="122"/>
      <c r="E177" s="122"/>
      <c r="F177" s="122"/>
      <c r="G177" s="122"/>
      <c r="H177" s="122"/>
      <c r="I177" s="122" t="s">
        <v>373</v>
      </c>
      <c r="J177" s="284" t="e">
        <f>+J81+J86+J91+J96+J101+J107+J112+J117+J122+J127+J132+J137+J143+J148+J153+J159+J164+J169</f>
        <v>#VALUE!</v>
      </c>
      <c r="K177" s="122"/>
    </row>
    <row r="178" spans="1:11" x14ac:dyDescent="0.25">
      <c r="A178" s="122" t="s">
        <v>542</v>
      </c>
      <c r="B178" s="122" t="s">
        <v>390</v>
      </c>
      <c r="C178" s="122"/>
      <c r="D178" s="122"/>
      <c r="E178" s="122"/>
      <c r="F178" s="122"/>
      <c r="G178" s="122"/>
      <c r="H178" s="122"/>
      <c r="I178" s="122" t="s">
        <v>375</v>
      </c>
      <c r="J178" s="284" t="e">
        <f>+J82+J87+J92+J97+J102+J108+J113+J118+J123+J128+J133+J138+J144+J149+J154+J160+J165+J170</f>
        <v>#VALUE!</v>
      </c>
      <c r="K178" s="122"/>
    </row>
    <row r="179" spans="1:11" x14ac:dyDescent="0.25">
      <c r="A179" s="122" t="s">
        <v>542</v>
      </c>
      <c r="B179" s="122" t="s">
        <v>390</v>
      </c>
      <c r="C179" s="122"/>
      <c r="D179" s="122"/>
      <c r="E179" s="122"/>
      <c r="F179" s="122"/>
      <c r="G179" s="122"/>
      <c r="H179" s="122"/>
      <c r="I179" s="122" t="s">
        <v>376</v>
      </c>
      <c r="J179" s="284" t="e">
        <f>+J83+J88+J93+J98+J103+J109+J114+J119+J124+J129+J134+J139+J145+J150+J155+J161+J166+J171</f>
        <v>#VALUE!</v>
      </c>
      <c r="K179" s="122"/>
    </row>
    <row r="180" spans="1:11" x14ac:dyDescent="0.25">
      <c r="A180" s="122" t="s">
        <v>542</v>
      </c>
      <c r="B180" s="122" t="s">
        <v>390</v>
      </c>
      <c r="C180" s="122"/>
      <c r="D180" s="122"/>
      <c r="E180" s="122"/>
      <c r="F180" s="122"/>
      <c r="G180" s="122"/>
      <c r="H180" s="122"/>
      <c r="I180" s="122" t="s">
        <v>371</v>
      </c>
      <c r="J180" s="284" t="e">
        <f>SUBTOTAL(9,J175:J179)</f>
        <v>#VALUE!</v>
      </c>
      <c r="K180" s="122"/>
    </row>
    <row r="181" spans="1:11" x14ac:dyDescent="0.25">
      <c r="A181" s="147" t="s">
        <v>544</v>
      </c>
    </row>
  </sheetData>
  <sheetProtection algorithmName="SHA-512" hashValue="4qhU3rZgI4xSCyqSaLrS2NjFEwPXvVvwZLXRxWivybiXudy1pjUg+vimR8/MrB84FvROmRwO1B36EIAbePqVuw==" saltValue="RFxMLwCzoACEJZMJPQ/X2w==" spinCount="100000" sheet="1" objects="1" scenarios="1" selectLockedCells="1"/>
  <mergeCells count="135">
    <mergeCell ref="B157:B161"/>
    <mergeCell ref="C157:C161"/>
    <mergeCell ref="D157:D161"/>
    <mergeCell ref="E157:E161"/>
    <mergeCell ref="F157:F161"/>
    <mergeCell ref="G157:G161"/>
    <mergeCell ref="K157:K161"/>
    <mergeCell ref="G162:G166"/>
    <mergeCell ref="K162:K166"/>
    <mergeCell ref="B167:B171"/>
    <mergeCell ref="C167:C171"/>
    <mergeCell ref="D167:D171"/>
    <mergeCell ref="E167:E171"/>
    <mergeCell ref="F167:F171"/>
    <mergeCell ref="G167:G171"/>
    <mergeCell ref="K167:K171"/>
    <mergeCell ref="B162:B166"/>
    <mergeCell ref="C162:C166"/>
    <mergeCell ref="D162:D166"/>
    <mergeCell ref="E162:E166"/>
    <mergeCell ref="F162:F166"/>
    <mergeCell ref="B151:B155"/>
    <mergeCell ref="C151:C155"/>
    <mergeCell ref="D151:D155"/>
    <mergeCell ref="E151:E155"/>
    <mergeCell ref="F151:F155"/>
    <mergeCell ref="G141:G145"/>
    <mergeCell ref="K141:K145"/>
    <mergeCell ref="B146:B150"/>
    <mergeCell ref="C146:C150"/>
    <mergeCell ref="D146:D150"/>
    <mergeCell ref="E146:E150"/>
    <mergeCell ref="F146:F150"/>
    <mergeCell ref="G146:G150"/>
    <mergeCell ref="K146:K150"/>
    <mergeCell ref="B141:B145"/>
    <mergeCell ref="C141:C145"/>
    <mergeCell ref="D141:D145"/>
    <mergeCell ref="E141:E145"/>
    <mergeCell ref="F141:F145"/>
    <mergeCell ref="G151:G155"/>
    <mergeCell ref="K151:K155"/>
    <mergeCell ref="G130:G134"/>
    <mergeCell ref="K130:K134"/>
    <mergeCell ref="B135:B139"/>
    <mergeCell ref="C135:C139"/>
    <mergeCell ref="D135:D139"/>
    <mergeCell ref="E135:E139"/>
    <mergeCell ref="F135:F139"/>
    <mergeCell ref="G135:G139"/>
    <mergeCell ref="K135:K139"/>
    <mergeCell ref="B130:B134"/>
    <mergeCell ref="C130:C134"/>
    <mergeCell ref="D130:D134"/>
    <mergeCell ref="E130:E134"/>
    <mergeCell ref="F130:F134"/>
    <mergeCell ref="G120:G124"/>
    <mergeCell ref="K120:K124"/>
    <mergeCell ref="B125:B129"/>
    <mergeCell ref="C125:C129"/>
    <mergeCell ref="D125:D129"/>
    <mergeCell ref="E125:E129"/>
    <mergeCell ref="F125:F129"/>
    <mergeCell ref="G125:G129"/>
    <mergeCell ref="K125:K129"/>
    <mergeCell ref="B120:B124"/>
    <mergeCell ref="C120:C124"/>
    <mergeCell ref="D120:D124"/>
    <mergeCell ref="E120:E124"/>
    <mergeCell ref="F120:F124"/>
    <mergeCell ref="G110:G114"/>
    <mergeCell ref="K110:K114"/>
    <mergeCell ref="B115:B119"/>
    <mergeCell ref="C115:C119"/>
    <mergeCell ref="D115:D119"/>
    <mergeCell ref="E115:E119"/>
    <mergeCell ref="F115:F119"/>
    <mergeCell ref="G115:G119"/>
    <mergeCell ref="K115:K119"/>
    <mergeCell ref="B110:B114"/>
    <mergeCell ref="C110:C114"/>
    <mergeCell ref="D110:D114"/>
    <mergeCell ref="E110:E114"/>
    <mergeCell ref="F110:F114"/>
    <mergeCell ref="G99:G103"/>
    <mergeCell ref="K99:K103"/>
    <mergeCell ref="B105:B109"/>
    <mergeCell ref="C105:C109"/>
    <mergeCell ref="D105:D109"/>
    <mergeCell ref="E105:E109"/>
    <mergeCell ref="F105:F109"/>
    <mergeCell ref="G105:G109"/>
    <mergeCell ref="K105:K109"/>
    <mergeCell ref="B99:B103"/>
    <mergeCell ref="C99:C103"/>
    <mergeCell ref="D99:D103"/>
    <mergeCell ref="E99:E103"/>
    <mergeCell ref="F99:F103"/>
    <mergeCell ref="G89:G93"/>
    <mergeCell ref="K89:K93"/>
    <mergeCell ref="B94:B98"/>
    <mergeCell ref="C94:C98"/>
    <mergeCell ref="D94:D98"/>
    <mergeCell ref="E94:E98"/>
    <mergeCell ref="F94:F98"/>
    <mergeCell ref="G94:G98"/>
    <mergeCell ref="K94:K98"/>
    <mergeCell ref="B89:B93"/>
    <mergeCell ref="C89:C93"/>
    <mergeCell ref="D89:D93"/>
    <mergeCell ref="E89:E93"/>
    <mergeCell ref="F89:F93"/>
    <mergeCell ref="B84:B88"/>
    <mergeCell ref="C84:C88"/>
    <mergeCell ref="D84:D88"/>
    <mergeCell ref="E84:E88"/>
    <mergeCell ref="F84:F88"/>
    <mergeCell ref="G84:G88"/>
    <mergeCell ref="K84:K88"/>
    <mergeCell ref="B79:B83"/>
    <mergeCell ref="C79:C83"/>
    <mergeCell ref="D79:D83"/>
    <mergeCell ref="E79:E83"/>
    <mergeCell ref="F79:F83"/>
    <mergeCell ref="B2:K2"/>
    <mergeCell ref="B8:G8"/>
    <mergeCell ref="C12:F12"/>
    <mergeCell ref="C13:F13"/>
    <mergeCell ref="C14:F14"/>
    <mergeCell ref="C15:F15"/>
    <mergeCell ref="C16:F16"/>
    <mergeCell ref="C17:F17"/>
    <mergeCell ref="G79:G83"/>
    <mergeCell ref="K79:K83"/>
    <mergeCell ref="D20:G20"/>
  </mergeCells>
  <conditionalFormatting sqref="G18">
    <cfRule type="expression" dxfId="92" priority="16">
      <formula>$H$37&lt;0</formula>
    </cfRule>
  </conditionalFormatting>
  <conditionalFormatting sqref="H29 H31 H33 H35">
    <cfRule type="expression" dxfId="91" priority="17">
      <formula>$H$37&lt;0</formula>
    </cfRule>
    <cfRule type="expression" dxfId="90" priority="18">
      <formula>$H$37&gt;0</formula>
    </cfRule>
  </conditionalFormatting>
  <conditionalFormatting sqref="J67 N67 J29:N38 J40:N53 J55:N60 J62:N66">
    <cfRule type="expression" dxfId="89" priority="15">
      <formula>"""ok"""</formula>
    </cfRule>
  </conditionalFormatting>
  <conditionalFormatting sqref="H44 H46">
    <cfRule type="expression" dxfId="88" priority="13">
      <formula>$H$37&lt;0</formula>
    </cfRule>
    <cfRule type="expression" dxfId="87" priority="14">
      <formula>$H$37&gt;0</formula>
    </cfRule>
  </conditionalFormatting>
  <conditionalFormatting sqref="H50 H52 H55 H57">
    <cfRule type="expression" dxfId="86" priority="11">
      <formula>$H$37&lt;0</formula>
    </cfRule>
    <cfRule type="expression" dxfId="85" priority="12">
      <formula>$H$37&gt;0</formula>
    </cfRule>
  </conditionalFormatting>
  <conditionalFormatting sqref="H62 H64 H66">
    <cfRule type="expression" dxfId="84" priority="9">
      <formula>$H$37&lt;0</formula>
    </cfRule>
    <cfRule type="expression" dxfId="83" priority="10">
      <formula>$H$37&gt;0</formula>
    </cfRule>
  </conditionalFormatting>
  <conditionalFormatting sqref="H48">
    <cfRule type="expression" dxfId="82" priority="7">
      <formula>$H$37&lt;0</formula>
    </cfRule>
    <cfRule type="expression" dxfId="81" priority="8">
      <formula>$H$37&gt;0</formula>
    </cfRule>
  </conditionalFormatting>
  <conditionalFormatting sqref="H59">
    <cfRule type="expression" dxfId="80" priority="5">
      <formula>$H$37&lt;0</formula>
    </cfRule>
    <cfRule type="expression" dxfId="79" priority="6">
      <formula>$H$37&gt;0</formula>
    </cfRule>
  </conditionalFormatting>
  <conditionalFormatting sqref="H37">
    <cfRule type="expression" dxfId="78" priority="3">
      <formula>$H$37&lt;0</formula>
    </cfRule>
    <cfRule type="expression" dxfId="77" priority="4">
      <formula>$H$37&gt;0</formula>
    </cfRule>
  </conditionalFormatting>
  <conditionalFormatting sqref="H40">
    <cfRule type="expression" dxfId="76" priority="1">
      <formula>$H$37&lt;0</formula>
    </cfRule>
    <cfRule type="expression" dxfId="75" priority="2">
      <formula>$H$37&gt;0</formula>
    </cfRule>
  </conditionalFormatting>
  <pageMargins left="0.70866141732283472" right="0.70866141732283472" top="0.74803149606299213" bottom="0.74803149606299213" header="0.31496062992125984" footer="0.31496062992125984"/>
  <pageSetup paperSize="9" scale="64" orientation="portrait" r:id="rId1"/>
  <ignoredErrors>
    <ignoredError sqref="J79:J180" evalError="1"/>
    <ignoredError sqref="C62:C66 C30:C38 C40:C43 C55:C60 C44:C53" 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9F822-F239-4D16-BE35-F34F1B514EB0}">
  <sheetPr codeName="Hoja11">
    <pageSetUpPr fitToPage="1"/>
  </sheetPr>
  <dimension ref="A1:W178"/>
  <sheetViews>
    <sheetView showGridLines="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499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6 : CCAA Cantabria, Castilla-León y Asturias.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oferta'!$B$18&amp;"T1_L06_cab"</f>
        <v>T1_L06_cab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oferta'!$B$18&amp;"T1_L06_DAB1"</f>
        <v>T1_L06_DAB1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decimales",IF(VLOOKUP(6,'RESUMEN LOTES'!B7:E15,4,FALSE)&lt;G18,"Importe ofertado supera max. € "&amp;VLOOKUP(6,'RESUMEN LOTES'!B7:E15,4,FALSE),IF(COUNTIFS($M$29:$M$66,"ok")&lt;&gt;16,"Debe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+IF(OR($G$18=0,LEN($G$18)=0),"¿?",IF(COUNTIFS($M$29:$M$66,"ok")&lt;&gt;16,"¿?",+IF(C13="Debe revisar Desglose 2 IMPORTE ofertado POR SEDE","¿?",+SUMIFS($J$78:$J$169,$H$78:$H$169,C13))))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oferta'!$B$18&amp;"T1_L06_DAB2"</f>
        <v>T1_L06_DAB2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decimales",IF(VLOOKUP(6,'RESUMEN LOTES'!B7:E15,4,FALSE)&lt;G18,"Importe ofertado supera max. € "&amp;VLOOKUP(6,'RESUMEN LOTES'!B7:E15,4,FALSE),IF(COUNTIFS($M$29:$M$66,"ok")&lt;&gt;16,"Debe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+IF(OR($G$18=0,LEN($G$18)=0),"¿?",IF(COUNTIFS($M$29:$M$66,"ok")&lt;&gt;16,"¿?",+IF(C14="Debe revisar Desglose 2 IMPORTE ofertado POR SEDE","¿?",+SUMIFS($J$78:$J$169,$H$78:$H$169,C14))))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oferta'!$B$18&amp;"T1_L06_DAB3"</f>
        <v>T1_L06_DAB3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decimales",IF(VLOOKUP(6,'RESUMEN LOTES'!B7:E15,4,FALSE)&lt;G18,"Importe ofertado supera max. € "&amp;VLOOKUP(6,'RESUMEN LOTES'!B7:E15,4,FALSE),IF(COUNTIFS($M$29:$M$66,"ok")&lt;&gt;16,"Debe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+IF(OR($G$18=0,LEN($G$18)=0),"¿?",IF(COUNTIFS($M$29:$M$66,"ok")&lt;&gt;16,"¿?",+IF(C15="Debe revisar Desglose 2 IMPORTE ofertado POR SEDE","¿?",+SUMIFS($J$78:$J$169,$H$78:$H$169,C15))))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oferta'!$B$18&amp;"T1_L06_DAB4"</f>
        <v>T1_L06_DAB4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decimales",IF(VLOOKUP(6,'RESUMEN LOTES'!B7:E15,4,FALSE)&lt;G18,"Importe ofertado supera max. € "&amp;VLOOKUP(6,'RESUMEN LOTES'!B7:E15,4,FALSE),IF(COUNTIFS($M$29:$M$66,"ok")&lt;&gt;16,"Debe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+IF(OR($G$18=0,LEN($G$18)=0),"¿?",IF(COUNTIFS($M$29:$M$66,"ok")&lt;&gt;16,"¿?",+IF(C16="Debe revisar Desglose 2 IMPORTE ofertado POR SEDE","¿?",+SUMIFS($J$78:$J$169,$H$78:$H$169,C16))))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oferta'!$B$18&amp;"T1_L06_DAB5"</f>
        <v>T1_L06_DAB5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decimales",IF(VLOOKUP(6,'RESUMEN LOTES'!B7:E15,4,FALSE)&lt;G18,"Importe ofertado supera max. € "&amp;VLOOKUP(6,'RESUMEN LOTES'!B7:E15,4,FALSE),IF(COUNTIFS($M$29:$M$66,"ok")&lt;&gt;16,"Debe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+IF(OR($G$18=0,LEN($G$18)=0),"¿?",IF(COUNTIFS($M$29:$M$66,"ok")&lt;&gt;16,"¿?",+IF(C17="Debe revisar Desglose 2 IMPORTE ofertado POR SEDE","¿?",+SUMIFS($J$78:$J$169,$H$78:$H$169,"Registro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oferta'!$B$18&amp;"T1_L06_TOT"</f>
        <v>T1_L06_TOT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+COUNTIFS(M29:M38,"ok")</f>
        <v>0</v>
      </c>
    </row>
    <row r="26" spans="1:23" ht="30" customHeight="1" thickBot="1" x14ac:dyDescent="0.3">
      <c r="A26" s="147" t="str">
        <f>+'Anx I pg 1 oferta'!$B$18&amp;"T2_L06_cab0a"</f>
        <v>T2_L06_cab0a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oferta'!$B$18&amp;"T2_L06_cab0b"</f>
        <v>T2_L06_cab0b</v>
      </c>
      <c r="B27" s="163" t="s">
        <v>241</v>
      </c>
      <c r="C27" s="164" t="s">
        <v>362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oferta'!$B$18&amp;"T2_L06_cab1(CA)"</f>
        <v>T2_L06_cab1(CA)</v>
      </c>
      <c r="B28" s="170" t="s">
        <v>390</v>
      </c>
      <c r="C28" s="171" t="s">
        <v>242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21.95" customHeight="1" thickBot="1" x14ac:dyDescent="0.3">
      <c r="A29" s="147" t="str">
        <f>+'Anx I pg 1 oferta'!$B$18&amp;"T2_L06_inst_"&amp;B29</f>
        <v>T2_L06_inst_L06-01</v>
      </c>
      <c r="B29" s="176" t="s">
        <v>243</v>
      </c>
      <c r="C29" s="177" t="str">
        <f>+VLOOKUP(B29,'DATOS CENTROS'!B:F,4,FALSE)</f>
        <v>C.E. FM SANTANDER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0.14399999999999999</v>
      </c>
      <c r="G29" s="181" t="str">
        <f>+IF(OR($G$18=0,LEN($G$18)=0),"",+ROUND(((H29)/$G$18),6))</f>
        <v/>
      </c>
      <c r="H29" s="217"/>
      <c r="J29" s="183"/>
      <c r="K29" s="183"/>
      <c r="L29" s="183"/>
      <c r="M29" s="277" t="str">
        <f>+IFERROR(IF(N29&lt;&gt;TRUNC(N29,2),".+ de 2 decim.",IF(COUNTA($H$29:$H$66)&lt;16,16-COUNTA($H$29:$H$66)&amp;" Items ptes.ofertar ",IF(AND($G$18&gt;0,$H$61&gt;0,(N29)/(N29)=1),"ok","mal"))),"¿max.min.ofertado?")</f>
        <v>¿max.min.ofertado?</v>
      </c>
      <c r="N29" s="183" t="str">
        <f>+IF(OR($G$18=0,LEN($G$18)=0),"",IF(OR($G$18&lt;0,+$G$18/$G$18&lt;&gt;1),"Total oferta Lote incorrecto (no numérico o negativo)",IF(AND($G$18&gt;0,$H$61&gt;0,H29&lt;=0),"¿importe ofertado?",IF(AND($G$18&gt;0,$H$61&lt;0),"acum.of.oferta sede &gt;oferta lote",IF(AND($G$18&gt;0,$H$61&lt;&gt;0,H29&lt;VLOOKUP(B29,'% admitidos'!A:M,11,FALSE)),+"min."&amp;VLOOKUP(B29,'% admitidos'!A:M,11,FALSE),IF(AND($G$18&gt;0,$H$61&gt;0,H29&gt;VLOOKUP(B29,'%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2" customHeight="1" thickBot="1" x14ac:dyDescent="0.3">
      <c r="A30" s="147" t="s">
        <v>542</v>
      </c>
      <c r="B30" s="236" t="s">
        <v>390</v>
      </c>
      <c r="C30" s="24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61"/>
      <c r="E30" s="61"/>
      <c r="F30" s="67"/>
      <c r="G30" s="68"/>
      <c r="H30" s="123"/>
      <c r="J30" s="126"/>
      <c r="K30" s="126"/>
      <c r="L30" s="126"/>
      <c r="M30" s="279"/>
      <c r="N30" s="126"/>
    </row>
    <row r="31" spans="1:23" ht="21.95" customHeight="1" thickBot="1" x14ac:dyDescent="0.3">
      <c r="A31" s="147" t="str">
        <f>+'Anx I pg 1 oferta'!$B$18&amp;"T2_L06_inst_"&amp;B31</f>
        <v>T2_L06_inst_L06-02</v>
      </c>
      <c r="B31" s="176" t="s">
        <v>245</v>
      </c>
      <c r="C31" s="177" t="str">
        <f>+VLOOKUP(B31,'DATOS CENTROS'!B:F,4,FALSE)</f>
        <v>C.T. RTVE Santander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0.13700000000000001</v>
      </c>
      <c r="G31" s="181" t="str">
        <f>+IF(OR($G$18=0,LEN($G$18)=0),"",+ROUND(((H31)/$G$18),6))</f>
        <v/>
      </c>
      <c r="H31" s="217"/>
      <c r="J31" s="183"/>
      <c r="K31" s="183"/>
      <c r="L31" s="183"/>
      <c r="M31" s="277" t="str">
        <f>+IFERROR(IF(N31&lt;&gt;TRUNC(N31,2),".+ de 2 decim.",IF(COUNTA($H$29:$H$66)&lt;16,16-COUNTA($H$29:$H$66)&amp;" Items ptes.ofertar ",IF(AND($G$18&gt;0,$H$61&gt;0,(N31)/(N31)=1),"ok","mal"))),"¿max.min.ofertado?")</f>
        <v>¿max.min.ofertado?</v>
      </c>
      <c r="N31" s="183" t="str">
        <f>+IF(OR($G$18=0,LEN($G$18)=0),"",IF(OR($G$18&lt;0,+$G$18/$G$18&lt;&gt;1),"Total oferta Lote incorrecto (no numérico o negativo)",IF(AND($G$18&gt;0,$H$61&gt;0,H31&lt;=0),"¿importe ofertado?",IF(AND($G$18&gt;0,$H$61&lt;0),"acum.of.oferta sede &gt;oferta lote",IF(AND($G$18&gt;0,$H$61&gt;0,H31&lt;VLOOKUP(B31,'% admitidos'!A:M,11,FALSE)),+"min."&amp;VLOOKUP(B31,'% admitidos'!A:M,11,FALSE),IF(AND($G$18&gt;0,$H$61&gt;0,H31&gt;VLOOKUP(B31,'% admitidos'!A:M,13,FALSE)),+"max."&amp;VLOOKUP(B31,'% admitidos'!A:M,13,FALSE),+H31))))))</f>
        <v/>
      </c>
    </row>
    <row r="32" spans="1:23" ht="12" customHeight="1" thickTop="1" thickBot="1" x14ac:dyDescent="0.3">
      <c r="A32" s="147" t="s">
        <v>542</v>
      </c>
      <c r="B32" s="237" t="s">
        <v>390</v>
      </c>
      <c r="C32" s="248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135"/>
      <c r="E32" s="135"/>
      <c r="F32" s="136"/>
      <c r="G32" s="137"/>
      <c r="H32" s="138"/>
      <c r="J32" s="126"/>
      <c r="K32" s="126"/>
      <c r="L32" s="126"/>
      <c r="M32" s="279"/>
      <c r="N32" s="126"/>
    </row>
    <row r="33" spans="1:23" ht="21.95" customHeight="1" thickBot="1" x14ac:dyDescent="0.3">
      <c r="A33" s="147" t="str">
        <f>+'Anx I pg 1 oferta'!$B$18&amp;"T2_L06_inst_"&amp;B33</f>
        <v>T2_L06_inst_L06-03</v>
      </c>
      <c r="B33" s="176" t="s">
        <v>247</v>
      </c>
      <c r="C33" s="177" t="str">
        <f>+VLOOKUP(B33,'DATOS CENTROS'!B:F,4,FALSE)</f>
        <v>S.U. Santander (Vargas)</v>
      </c>
      <c r="D33" s="178"/>
      <c r="E33" s="179" t="str">
        <f>+VLOOKUP(B33,'DATOS CENTROS'!B:F,3,FALSE)</f>
        <v>C</v>
      </c>
      <c r="F33" s="180">
        <f>+VLOOKUP(B33,'DATOS CENTROS'!B:F,5,FALSE)</f>
        <v>3.2000000000000001E-2</v>
      </c>
      <c r="G33" s="181" t="str">
        <f>+IF(OR($G$18=0,LEN($G$18)=0),"",+ROUND(((H33)/$G$18),6))</f>
        <v/>
      </c>
      <c r="H33" s="217"/>
      <c r="J33" s="183"/>
      <c r="K33" s="183"/>
      <c r="L33" s="183"/>
      <c r="M33" s="277" t="str">
        <f>+IFERROR(IF(N33&lt;&gt;TRUNC(N33,2),".+ de 2 decim.",IF(COUNTA($H$29:$H$66)&lt;16,16-COUNTA($H$29:$H$66)&amp;" Items ptes.ofertar ",IF(AND($G$18&gt;0,$H$61&gt;0,(N33)/(N33)=1),"ok","mal"))),"¿max.min.ofertado?")</f>
        <v>¿max.min.ofertado?</v>
      </c>
      <c r="N33" s="183" t="str">
        <f>+IF(OR($G$18=0,LEN($G$18)=0),"",IF(OR($G$18&lt;0,+$G$18/$G$18&lt;&gt;1),"Total oferta Lote incorrecto (no numérico o negativo)",IF(AND($G$18&gt;0,$H$61&gt;0,H33&lt;=0),"¿importe ofertado?",IF(AND($G$18&gt;0,$H$61&lt;0),"acum.of.oferta sede &gt;oferta lote",IF(AND($G$18&gt;0,$H$61&gt;0,H33&lt;VLOOKUP(B33,'% admitidos'!A:M,11,FALSE)),+"min."&amp;VLOOKUP(B33,'% admitidos'!A:M,11,FALSE),IF(AND($G$18&gt;0,$H$61&gt;0,H33&gt;VLOOKUP(B33,'% admitidos'!A:M,13,FALSE)),+"max."&amp;VLOOKUP(B33,'% admitidos'!A:M,13,FALSE),+H33))))))</f>
        <v/>
      </c>
    </row>
    <row r="34" spans="1:23" ht="12" customHeight="1" thickBot="1" x14ac:dyDescent="0.3">
      <c r="A34" s="147" t="s">
        <v>542</v>
      </c>
      <c r="B34" s="236" t="s">
        <v>390</v>
      </c>
      <c r="C34" s="24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61"/>
      <c r="E34" s="61"/>
      <c r="F34" s="67"/>
      <c r="G34" s="67"/>
      <c r="H34" s="123"/>
      <c r="J34" s="126"/>
      <c r="K34" s="126"/>
      <c r="L34" s="126"/>
      <c r="M34" s="279"/>
      <c r="N34" s="126"/>
    </row>
    <row r="35" spans="1:23" ht="21.95" customHeight="1" thickBot="1" x14ac:dyDescent="0.3">
      <c r="A35" s="147" t="str">
        <f>+'Anx I pg 1 oferta'!$B$18&amp;"T2_L06_inst_"&amp;B35</f>
        <v>T2_L06_inst_L06-04</v>
      </c>
      <c r="B35" s="186" t="s">
        <v>249</v>
      </c>
      <c r="C35" s="187" t="str">
        <f>+VLOOKUP(B35,'DATOS CENTROS'!B:F,4,FALSE)</f>
        <v>S.U. Torrelavega</v>
      </c>
      <c r="D35" s="188"/>
      <c r="E35" s="189" t="str">
        <f>+VLOOKUP(B35,'DATOS CENTROS'!B:F,3,FALSE)</f>
        <v>C</v>
      </c>
      <c r="F35" s="220">
        <f>+VLOOKUP(B35,'DATOS CENTROS'!B:F,5,FALSE)</f>
        <v>2.1000000000000001E-2</v>
      </c>
      <c r="G35" s="190" t="str">
        <f>+IF(OR($G$18=0,LEN($G$18)=0),"",+ROUND(((H35)/$G$18),6))</f>
        <v/>
      </c>
      <c r="H35" s="218"/>
      <c r="J35" s="183"/>
      <c r="K35" s="183"/>
      <c r="L35" s="183"/>
      <c r="M35" s="277" t="str">
        <f>+IFERROR(IF(N35&lt;&gt;TRUNC(N35,2),".+ de 2 decim.",IF(COUNTA($H$29:$H$66)&lt;16,16-COUNTA($H$29:$H$66)&amp;" Items ptes.ofertar ",IF(AND($G$18&gt;0,$H$61&gt;0,(N35)/(N35)=1),"ok","mal"))),"¿max.min.ofertado?")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negativo)",IF(AND($G$18&gt;0,$H$61&gt;0,H35&lt;=0),"¿importe ofertado?",IF(AND($G$18&gt;0,$H$61&lt;0),"acum.of.oferta sede &gt;oferta lote",IF(AND($G$18&gt;0,$H$61&gt;0,H35&lt;VLOOKUP(B35,'% admitidos'!A:M,11,FALSE)),+"min."&amp;VLOOKUP(B35,'% admitidos'!A:M,11,FALSE),IF(AND($G$18&gt;0,$H$61&gt;0,H35&gt;VLOOKUP(B35,'% admitidos'!A:M,13,FALSE)),+"max."&amp;VLOOKUP(B35,'% admitidos'!A:M,13,FALSE),+H35))))))</f>
        <v/>
      </c>
    </row>
    <row r="36" spans="1:23" ht="12" customHeight="1" thickTop="1" thickBot="1" x14ac:dyDescent="0.3">
      <c r="A36" s="147" t="s">
        <v>542</v>
      </c>
      <c r="B36" s="152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69"/>
      <c r="G36" s="69"/>
      <c r="H36" s="71"/>
      <c r="J36" s="126"/>
      <c r="K36" s="126"/>
      <c r="L36" s="126"/>
      <c r="M36" s="279"/>
      <c r="N36" s="126"/>
    </row>
    <row r="37" spans="1:23" ht="15.75" thickBot="1" x14ac:dyDescent="0.3">
      <c r="A37" s="147" t="str">
        <f>+'Anx I pg 1 oferta'!$B$18&amp;"T2_L06_cab2(CA)"</f>
        <v>T2_L06_cab2(CA)</v>
      </c>
      <c r="B37" s="170" t="s">
        <v>390</v>
      </c>
      <c r="C37" s="171" t="s">
        <v>251</v>
      </c>
      <c r="D37" s="172"/>
      <c r="E37" s="172"/>
      <c r="F37" s="173"/>
      <c r="G37" s="173"/>
      <c r="H37" s="174"/>
      <c r="M37" s="12"/>
    </row>
    <row r="38" spans="1:23" ht="21.95" customHeight="1" thickBot="1" x14ac:dyDescent="0.3">
      <c r="A38" s="147" t="str">
        <f>+'Anx I pg 1 oferta'!$B$18&amp;"T2_L06_inst_"&amp;B38</f>
        <v>T2_L06_inst_L06-05</v>
      </c>
      <c r="B38" s="176" t="s">
        <v>252</v>
      </c>
      <c r="C38" s="177" t="str">
        <f>+VLOOKUP(B38,'DATOS CENTROS'!B:F,4,FALSE)</f>
        <v>C.E. SAN CRISTOBAL</v>
      </c>
      <c r="D38" s="178"/>
      <c r="E38" s="179" t="str">
        <f>+VLOOKUP(B38,'DATOS CENTROS'!B:F,3,FALSE)</f>
        <v xml:space="preserve"> A + C</v>
      </c>
      <c r="F38" s="180">
        <f>+VLOOKUP(B38,'DATOS CENTROS'!B:F,5,FALSE)</f>
        <v>9.1999999999999998E-2</v>
      </c>
      <c r="G38" s="181" t="str">
        <f>+IF(OR($G$18=0,LEN($G$18)=0),"",+ROUND(((H38)/$G$18),6))</f>
        <v/>
      </c>
      <c r="H38" s="217"/>
      <c r="J38" s="183"/>
      <c r="K38" s="183"/>
      <c r="L38" s="183"/>
      <c r="M38" s="277" t="str">
        <f>+IFERROR(IF(N38&lt;&gt;TRUNC(N38,2),".+ de 2 decim.",IF(COUNTA($H$29:$H$66)&lt;16,16-COUNTA($H$29:$H$66)&amp;" Items ptes.ofertar ",IF(AND($G$18&gt;0,$H$61&gt;0,(N38)/(N38)=1),"ok","mal"))),"¿max.min.ofertado?")</f>
        <v>¿max.min.ofertado?</v>
      </c>
      <c r="N38" s="183" t="str">
        <f>+IF(OR($G$18=0,LEN($G$18)=0),"",IF(OR($G$18&lt;0,+$G$18/$G$18&lt;&gt;1),"Total oferta Lote incorrecto (no numérico o negativo)",IF(AND($G$18&gt;0,$H$61&gt;0,H38&lt;=0),"¿importe ofertado?",IF(AND($G$18&gt;0,$H$61&lt;0),"acum.of.oferta sede &gt;oferta lote",IF(AND($G$18&gt;0,$H$61&gt;0,H38&lt;VLOOKUP(B38,'% admitidos'!A:M,11,FALSE)),+"min."&amp;VLOOKUP(B38,'% admitidos'!A:M,11,FALSE),IF(AND($G$18&gt;0,$H$61&gt;0,H38&gt;VLOOKUP(B38,'% admitidos'!A:M,13,FALSE)),+"max."&amp;+ROUND(VLOOKUP(B38,'% admitidos'!A:M,13,FALSE),4),+H38))))))</f>
        <v/>
      </c>
    </row>
    <row r="39" spans="1:23" ht="12" customHeight="1" thickTop="1" thickBot="1" x14ac:dyDescent="0.3">
      <c r="A39" s="147" t="s">
        <v>542</v>
      </c>
      <c r="B39" s="237" t="s">
        <v>390</v>
      </c>
      <c r="C39" s="248" t="str">
        <f>+IF(LEN('Anx I pg 1 oferta'!$C$56)&gt;0,"","min. "&amp;VLOOKUP(B38,'% admitidos'!A:M,11,FALSE)&amp;" - med.  "&amp;VLOOKUP(B38,'% admitidos'!A:M,12,FALSE)&amp;" - max.  "&amp;+ROUND(VLOOKUP(B38,'% admitidos'!A:M,13,FALSE),6))</f>
        <v>min. 0 - med.  0 - max.  0</v>
      </c>
      <c r="D39" s="135"/>
      <c r="E39" s="135"/>
      <c r="F39" s="135"/>
      <c r="G39" s="135"/>
      <c r="H39" s="144"/>
      <c r="J39" s="107"/>
      <c r="K39" s="107"/>
      <c r="L39" s="107"/>
      <c r="M39" s="279"/>
      <c r="N39" s="107"/>
    </row>
    <row r="40" spans="1:23" ht="21.95" customHeight="1" thickBot="1" x14ac:dyDescent="0.3">
      <c r="A40" s="147" t="str">
        <f>+'Anx I pg 1 oferta'!$B$18&amp;"T2_L06_inst_"&amp;B40</f>
        <v>T2_L06_inst_L06-06</v>
      </c>
      <c r="B40" s="176" t="s">
        <v>254</v>
      </c>
      <c r="C40" s="177" t="str">
        <f>+VLOOKUP(B40,'DATOS CENTROS'!B:F,4,FALSE)</f>
        <v>C.T. TVE Valladolid</v>
      </c>
      <c r="D40" s="178"/>
      <c r="E40" s="179" t="str">
        <f>+VLOOKUP(B40,'DATOS CENTROS'!B:F,3,FALSE)</f>
        <v xml:space="preserve"> A + C</v>
      </c>
      <c r="F40" s="180">
        <f>+VLOOKUP(B40,'DATOS CENTROS'!B:F,5,FALSE)</f>
        <v>0.12</v>
      </c>
      <c r="G40" s="181" t="str">
        <f>+IF(OR($G$18=0,LEN($G$18)=0),"",+ROUND(((H40)/$G$18),6))</f>
        <v/>
      </c>
      <c r="H40" s="217"/>
      <c r="J40" s="183"/>
      <c r="K40" s="183"/>
      <c r="L40" s="183"/>
      <c r="M40" s="277" t="str">
        <f>+IFERROR(IF(N40&lt;&gt;TRUNC(N40,2),".+ de 2 decim.",IF(COUNTA($H$29:$H$66)&lt;16,16-COUNTA($H$29:$H$66)&amp;" Items ptes.ofertar ",IF(AND($G$18&gt;0,$H$61&gt;0,(N40)/(N40)=1),"ok","mal"))),"¿max.min.ofertado?")</f>
        <v>¿max.min.ofertado?</v>
      </c>
      <c r="N40" s="183" t="str">
        <f>+IF(OR($G$18=0,LEN($G$18)=0),"",IF(OR($G$18&lt;0,+$G$18/$G$18&lt;&gt;1),"Total oferta Lote incorrecto (no numérico o negativo)",IF(AND($G$18&gt;0,$H$61&gt;0,H40&lt;=0),"¿importe ofertado?",IF(AND($G$18&gt;0,$H$61&lt;0),"acum.of.oferta sede &gt;oferta lote",IF(AND($G$18&gt;0,$H$61&gt;0,H40&lt;VLOOKUP(B40,'% admitidos'!A:M,11,FALSE)),+"min."&amp;VLOOKUP(B40,'% admitidos'!A:M,11,FALSE),IF(AND($G$18&gt;0,$H$61&gt;0,H40&gt;VLOOKUP(B40,'% admitidos'!A:M,13,FALSE)),+"max."&amp;VLOOKUP(B40,'% admitidos'!A:M,13,FALSE),+H40))))))</f>
        <v/>
      </c>
      <c r="Q40" s="101"/>
      <c r="R40" s="101"/>
      <c r="S40" s="101"/>
      <c r="T40" s="101"/>
      <c r="U40" s="101"/>
      <c r="V40" s="101"/>
      <c r="W40" s="101"/>
    </row>
    <row r="41" spans="1:23" ht="12" customHeight="1" thickTop="1" thickBot="1" x14ac:dyDescent="0.3">
      <c r="A41" s="147" t="s">
        <v>542</v>
      </c>
      <c r="B41" s="236" t="s">
        <v>390</v>
      </c>
      <c r="C41" s="248" t="str">
        <f>+IF(LEN('Anx I pg 1 oferta'!$C$56)&gt;0,"","min. "&amp;VLOOKUP(B40,'% admitidos'!A:M,11,FALSE)&amp;" - med.  "&amp;VLOOKUP(B40,'% admitidos'!A:M,12,FALSE)&amp;" - max.  "&amp;+ROUND(VLOOKUP(B40,'% admitidos'!A:M,13,FALSE),6))</f>
        <v>min. 0 - med.  0 - max.  0</v>
      </c>
      <c r="D41" s="61"/>
      <c r="E41" s="61"/>
      <c r="F41" s="67"/>
      <c r="G41" s="68"/>
      <c r="H41" s="123"/>
      <c r="J41" s="126"/>
      <c r="K41" s="126"/>
      <c r="L41" s="126"/>
      <c r="M41" s="279"/>
      <c r="N41" s="126"/>
    </row>
    <row r="42" spans="1:23" ht="21.95" customHeight="1" thickBot="1" x14ac:dyDescent="0.3">
      <c r="A42" s="147" t="str">
        <f>+'Anx I pg 1 oferta'!$B$18&amp;"T2_L06_inst_"&amp;B42</f>
        <v>T2_L06_inst_L06-07</v>
      </c>
      <c r="B42" s="186" t="s">
        <v>256</v>
      </c>
      <c r="C42" s="187" t="str">
        <f>+VLOOKUP(B42,'DATOS CENTROS'!B:F,4,FALSE)</f>
        <v>U.I. RTVE Soria</v>
      </c>
      <c r="D42" s="188"/>
      <c r="E42" s="189" t="str">
        <f>+VLOOKUP(B42,'DATOS CENTROS'!B:F,3,FALSE)</f>
        <v>C</v>
      </c>
      <c r="F42" s="220">
        <f>+VLOOKUP(B42,'DATOS CENTROS'!B:F,5,FALSE)</f>
        <v>2.1000000000000001E-2</v>
      </c>
      <c r="G42" s="190" t="str">
        <f>+IF(OR($G$18=0,LEN($G$18)=0),"",+ROUND(((H42)/$G$18),6))</f>
        <v/>
      </c>
      <c r="H42" s="218"/>
      <c r="J42" s="183"/>
      <c r="K42" s="183"/>
      <c r="L42" s="183"/>
      <c r="M42" s="277" t="str">
        <f>+IFERROR(IF(N42&lt;&gt;TRUNC(N42,2),".+ de 2 decim.",IF(COUNTA($H$29:$H$66)&lt;16,16-COUNTA($H$29:$H$66)&amp;" Items ptes.ofertar ",IF(AND($G$18&gt;0,$H$61&gt;0,(N42)/(N42)=1),"ok","mal"))),"¿max.min.ofertado?")</f>
        <v>¿max.min.ofertado?</v>
      </c>
      <c r="N42" s="183" t="str">
        <f>+IF(OR($G$18=0,LEN($G$18)=0),"",IF(OR($G$18&lt;0,+$G$18/$G$18&lt;&gt;1),"Total oferta Lote incorrecto (no numérico o negativo)",IF(AND($G$18&gt;0,$H$61&gt;0,H42&lt;=0),"¿importe ofertado?",IF(AND($G$18&gt;0,$H$61&lt;0),"acum.of.oferta sede &gt;oferta lote",IF(AND($G$18&gt;0,$H$61&gt;0,H42&lt;VLOOKUP(B42,'% admitidos'!A:M,11,FALSE)),+"min."&amp;VLOOKUP(B42,'% admitidos'!A:M,11,FALSE),IF(AND($G$18&gt;0,$H$61&gt;0,H42&gt;VLOOKUP(B42,'% admitidos'!A:M,13,FALSE)),+"max."&amp;VLOOKUP(B42,'% admitidos'!A:M,13,FALSE),+H42))))))</f>
        <v/>
      </c>
    </row>
    <row r="43" spans="1:23" ht="12" customHeight="1" thickTop="1" thickBot="1" x14ac:dyDescent="0.3">
      <c r="A43" s="147" t="s">
        <v>542</v>
      </c>
      <c r="B43" s="152" t="s">
        <v>390</v>
      </c>
      <c r="C43" s="254" t="str">
        <f>+IF(LEN('Anx I pg 1 oferta'!$C$56)&gt;0,"","min. "&amp;VLOOKUP(B42,'% admitidos'!A:M,11,FALSE)&amp;" - med.  "&amp;VLOOKUP(B42,'% admitidos'!A:M,12,FALSE)&amp;" - max.  "&amp;VLOOKUP(B42,'% admitidos'!A:M,13,FALSE))</f>
        <v>min. 0 - med.  0 - max.  0</v>
      </c>
      <c r="D43" s="54"/>
      <c r="E43" s="54"/>
      <c r="F43" s="69"/>
      <c r="G43" s="70"/>
      <c r="H43" s="124"/>
      <c r="J43" s="126"/>
      <c r="K43" s="126"/>
      <c r="L43" s="126"/>
      <c r="M43" s="279"/>
      <c r="N43" s="126"/>
    </row>
    <row r="44" spans="1:23" ht="21.95" customHeight="1" thickBot="1" x14ac:dyDescent="0.3">
      <c r="A44" s="147" t="str">
        <f>+'Anx I pg 1 oferta'!$B$18&amp;"T2_L06_inst_"&amp;B44</f>
        <v>T2_L06_inst_L06-08</v>
      </c>
      <c r="B44" s="176" t="s">
        <v>258</v>
      </c>
      <c r="C44" s="177" t="str">
        <f>+VLOOKUP(B44,'DATOS CENTROS'!B:F,4,FALSE)</f>
        <v>U.I. RTVE Ponferrada</v>
      </c>
      <c r="D44" s="178"/>
      <c r="E44" s="179" t="str">
        <f>+VLOOKUP(B44,'DATOS CENTROS'!B:F,3,FALSE)</f>
        <v>C</v>
      </c>
      <c r="F44" s="180">
        <f>+VLOOKUP(B44,'DATOS CENTROS'!B:F,5,FALSE)</f>
        <v>2.1000000000000001E-2</v>
      </c>
      <c r="G44" s="181" t="str">
        <f>+IF(OR($G$18=0,LEN($G$18)=0),"",+ROUND(((H44)/$G$18),6))</f>
        <v/>
      </c>
      <c r="H44" s="217"/>
      <c r="J44" s="183"/>
      <c r="K44" s="183"/>
      <c r="L44" s="183"/>
      <c r="M44" s="277" t="str">
        <f>+IFERROR(IF(N44&lt;&gt;TRUNC(N44,2),".+ de 2 decim.",IF(COUNTA($H$29:$H$66)&lt;16,16-COUNTA($H$29:$H$66)&amp;" Items ptes.ofertar ",IF(AND($G$18&gt;0,$H$61&gt;0,(N44)/(N44)=1),"ok","mal"))),"¿max.min.ofertado?")</f>
        <v>¿max.min.ofertado?</v>
      </c>
      <c r="N44" s="183" t="str">
        <f>+IF(OR($G$18=0,LEN($G$18)=0),"",IF(OR($G$18&lt;0,+$G$18/$G$18&lt;&gt;1),"Total oferta Lote incorrecto (no numérico o negativo)",IF(AND($G$18&gt;0,$H$61&gt;0,H44&lt;=0),"¿importe ofertado?",IF(AND($G$18&gt;0,$H$61&lt;0),"acum.of.oferta sede &gt;oferta lote",IF(AND($G$18&gt;0,$H$61&gt;0,H44&lt;VLOOKUP(B44,'% admitidos'!A:M,11,FALSE)),+"min."&amp;VLOOKUP(B44,'% admitidos'!A:M,11,FALSE),IF(AND($G$18&gt;0,$H$61&gt;0,H44&gt;VLOOKUP(B44,'% admitidos'!A:M,13,FALSE)),+"max."&amp;VLOOKUP(B44,'% admitidos'!A:M,13,FALSE),+H44))))))</f>
        <v/>
      </c>
    </row>
    <row r="45" spans="1:23" ht="12" customHeight="1" thickBot="1" x14ac:dyDescent="0.3">
      <c r="A45" s="147" t="s">
        <v>542</v>
      </c>
      <c r="B45" s="236" t="s">
        <v>390</v>
      </c>
      <c r="C45" s="240" t="str">
        <f>+IF(LEN('Anx I pg 1 oferta'!$C$56)&gt;0,"","min. "&amp;VLOOKUP(B44,'% admitidos'!A:M,11,FALSE)&amp;" - med.  "&amp;VLOOKUP(B44,'% admitidos'!A:M,12,FALSE)&amp;" - max.  "&amp;VLOOKUP(B44,'% admitidos'!A:M,13,FALSE))</f>
        <v>min. 0 - med.  0 - max.  0</v>
      </c>
      <c r="D45" s="61"/>
      <c r="E45" s="61"/>
      <c r="F45" s="67"/>
      <c r="G45" s="67"/>
      <c r="H45" s="123"/>
      <c r="J45" s="126"/>
      <c r="K45" s="126"/>
      <c r="L45" s="126"/>
      <c r="M45" s="279"/>
      <c r="N45" s="126"/>
    </row>
    <row r="46" spans="1:23" ht="21.95" customHeight="1" thickBot="1" x14ac:dyDescent="0.3">
      <c r="A46" s="147" t="str">
        <f>+'Anx I pg 1 oferta'!$B$18&amp;"T2_L06_inst_"&amp;B46</f>
        <v>T2_L06_inst_L06-09</v>
      </c>
      <c r="B46" s="176" t="s">
        <v>260</v>
      </c>
      <c r="C46" s="177" t="str">
        <f>+VLOOKUP(B46,'DATOS CENTROS'!B:F,4,FALSE)</f>
        <v>U.I. RTVE Ávila</v>
      </c>
      <c r="D46" s="178"/>
      <c r="E46" s="179" t="str">
        <f>+VLOOKUP(B46,'DATOS CENTROS'!B:F,3,FALSE)</f>
        <v>C</v>
      </c>
      <c r="F46" s="180">
        <f>+VLOOKUP(B46,'DATOS CENTROS'!B:F,5,FALSE)</f>
        <v>2.8000000000000001E-2</v>
      </c>
      <c r="G46" s="181" t="str">
        <f>+IF(OR($G$18=0,LEN($G$18)=0),"",+ROUND(((H46)/$G$18),6))</f>
        <v/>
      </c>
      <c r="H46" s="217"/>
      <c r="J46" s="183"/>
      <c r="K46" s="183"/>
      <c r="L46" s="183"/>
      <c r="M46" s="277" t="str">
        <f>+IFERROR(IF(N46&lt;&gt;TRUNC(N46,2),".+ de 2 decim.",IF(COUNTA($H$29:$H$66)&lt;16,16-COUNTA($H$29:$H$66)&amp;" Items ptes.ofertar ",IF(AND($G$18&gt;0,$H$61&gt;0,(N46)/(N46)=1),"ok","mal"))),"¿max.min.ofertado?")</f>
        <v>¿max.min.ofertado?</v>
      </c>
      <c r="N46" s="183" t="str">
        <f>+IF(OR($G$18=0,LEN($G$18)=0),"",IF(OR($G$18&lt;0,+$G$18/$G$18&lt;&gt;1),"Total oferta Lote incorrecto (no numérico o negativo)",IF(AND($G$18&gt;0,$H$61&gt;0,H46&lt;=0),"¿importe ofertado?",IF(AND($G$18&gt;0,$H$61&lt;0),"acum.of.oferta sede &gt;oferta lote",IF(AND($G$18&gt;0,$H$61&gt;0,H46&lt;VLOOKUP(B46,'% admitidos'!A:M,11,FALSE)),+"min."&amp;VLOOKUP(B46,'% admitidos'!A:M,11,FALSE),IF(AND($G$18&gt;0,$H$61&gt;0,H46&gt;VLOOKUP(B46,'% admitidos'!A:M,13,FALSE)),+"max."&amp;VLOOKUP(B46,'% admitidos'!A:M,13,FALSE),+H46))))))</f>
        <v/>
      </c>
    </row>
    <row r="47" spans="1:23" ht="12" customHeight="1" thickBot="1" x14ac:dyDescent="0.3">
      <c r="A47" s="147" t="s">
        <v>542</v>
      </c>
      <c r="B47" s="236" t="s">
        <v>390</v>
      </c>
      <c r="C47" s="240" t="str">
        <f>+IF(LEN('Anx I pg 1 oferta'!$C$56)&gt;0,"","min. "&amp;VLOOKUP(B46,'% admitidos'!A:M,11,FALSE)&amp;" - med.  "&amp;VLOOKUP(B46,'% admitidos'!A:M,12,FALSE)&amp;" - max.  "&amp;VLOOKUP(B46,'% admitidos'!A:M,13,FALSE))</f>
        <v>min. 0 - med.  0 - max.  0</v>
      </c>
      <c r="D47" s="61"/>
      <c r="E47" s="61"/>
      <c r="F47" s="67"/>
      <c r="G47" s="67"/>
      <c r="H47" s="145"/>
      <c r="J47" s="126"/>
      <c r="K47" s="126"/>
      <c r="L47" s="126"/>
      <c r="M47" s="279"/>
      <c r="N47" s="126"/>
    </row>
    <row r="48" spans="1:23" ht="21.95" customHeight="1" thickBot="1" x14ac:dyDescent="0.3">
      <c r="A48" s="147" t="str">
        <f>+'Anx I pg 1 oferta'!$B$18&amp;"T2_L06_inst_"&amp;B48</f>
        <v>T2_L06_inst_L06-10</v>
      </c>
      <c r="B48" s="191" t="s">
        <v>262</v>
      </c>
      <c r="C48" s="192" t="str">
        <f>+VLOOKUP(B48,'DATOS CENTROS'!B:F,4,FALSE)</f>
        <v>U.I. RTVE Burgos</v>
      </c>
      <c r="D48" s="193"/>
      <c r="E48" s="194" t="str">
        <f>+VLOOKUP(B48,'DATOS CENTROS'!B:F,3,FALSE)</f>
        <v>C</v>
      </c>
      <c r="F48" s="220">
        <f>+VLOOKUP(B48,'DATOS CENTROS'!B:F,5,FALSE)</f>
        <v>3.5000000000000003E-2</v>
      </c>
      <c r="G48" s="181" t="str">
        <f>+IF(OR($G$18=0,LEN($G$18)=0),"",+ROUND(((H48)/$G$18),6))</f>
        <v/>
      </c>
      <c r="H48" s="219"/>
      <c r="J48" s="183"/>
      <c r="K48" s="183"/>
      <c r="L48" s="183"/>
      <c r="M48" s="277" t="str">
        <f>+IFERROR(IF(N48&lt;&gt;TRUNC(N48,2),".+ de 2 decim.",IF(COUNTA($H$29:$H$66)&lt;16,16-COUNTA($H$29:$H$66)&amp;" Items ptes.ofertar ",IF(AND($G$18&gt;0,$H$61&gt;0,(N48)/(N48)=1),"ok","mal"))),"¿max.min.ofertado?")</f>
        <v>¿max.min.ofertado?</v>
      </c>
      <c r="N48" s="183" t="str">
        <f>+IF(OR($G$18=0,LEN($G$18)=0),"",IF(OR($G$18&lt;0,+$G$18/$G$18&lt;&gt;1),"Total oferta Lote incorrecto (no numérico o negativo)",IF(AND($G$18&gt;0,$H$61&gt;0,H48&lt;=0),"¿importe ofertado?",IF(AND($G$18&gt;0,$H$61&lt;0),"acum.of.oferta sede &gt;oferta lote",IF(AND($G$18&gt;0,$H$61&gt;0,H48&lt;VLOOKUP(B48,'% admitidos'!A:M,11,FALSE)),+"min."&amp;VLOOKUP(B48,'% admitidos'!A:M,11,FALSE),IF(AND($G$18&gt;0,$H$61&gt;0,H48&gt;VLOOKUP(B48,'% admitidos'!A:M,13,FALSE)),+"max."&amp;VLOOKUP(B48,'% admitidos'!A:M,13,FALSE),+H48))))))</f>
        <v/>
      </c>
    </row>
    <row r="49" spans="1:23" ht="12" customHeight="1" thickBot="1" x14ac:dyDescent="0.3">
      <c r="A49" s="147" t="s">
        <v>542</v>
      </c>
      <c r="B49" s="152" t="s">
        <v>390</v>
      </c>
      <c r="C49" s="254" t="str">
        <f>+IF(LEN('Anx I pg 1 oferta'!$C$56)&gt;0,"","min. "&amp;VLOOKUP(B48,'% admitidos'!A:M,11,FALSE)&amp;" - med.  "&amp;VLOOKUP(B48,'% admitidos'!A:M,12,FALSE)&amp;" - max.  "&amp;+ROUND(VLOOKUP(B48,'% admitidos'!A:M,13,FALSE),6))</f>
        <v>min. 0 - med.  0 - max.  0</v>
      </c>
      <c r="D49" s="54"/>
      <c r="E49" s="54"/>
      <c r="F49" s="54"/>
      <c r="G49" s="54"/>
      <c r="H49" s="55"/>
      <c r="J49" s="107"/>
      <c r="K49" s="107"/>
      <c r="L49" s="107"/>
      <c r="M49" s="279"/>
      <c r="N49" s="107"/>
    </row>
    <row r="50" spans="1:23" ht="21.95" customHeight="1" thickBot="1" x14ac:dyDescent="0.3">
      <c r="A50" s="147" t="str">
        <f>+'Anx I pg 1 oferta'!$B$18&amp;"T2_L06_inst_"&amp;B50</f>
        <v>T2_L06_inst_L06-11</v>
      </c>
      <c r="B50" s="176" t="s">
        <v>264</v>
      </c>
      <c r="C50" s="177" t="str">
        <f>+VLOOKUP(B50,'DATOS CENTROS'!B:F,4,FALSE)</f>
        <v>U.I. RTVE León</v>
      </c>
      <c r="D50" s="178"/>
      <c r="E50" s="179" t="str">
        <f>+VLOOKUP(B50,'DATOS CENTROS'!B:F,3,FALSE)</f>
        <v>C</v>
      </c>
      <c r="F50" s="180">
        <f>+VLOOKUP(B50,'DATOS CENTROS'!B:F,5,FALSE)</f>
        <v>2.5000000000000001E-2</v>
      </c>
      <c r="G50" s="181" t="str">
        <f>+IF(OR($G$18=0,LEN($G$18)=0),"",+ROUND(((H50)/$G$18),6))</f>
        <v/>
      </c>
      <c r="H50" s="217"/>
      <c r="J50" s="183"/>
      <c r="K50" s="183"/>
      <c r="L50" s="183"/>
      <c r="M50" s="277" t="str">
        <f>+IFERROR(IF(N50&lt;&gt;TRUNC(N50,2),".+ de 2 decim.",IF(COUNTA($H$29:$H$66)&lt;16,16-COUNTA($H$29:$H$66)&amp;" Items ptes.ofertar ",IF(AND($G$18&gt;0,$H$61&gt;0,(N50)/(N50)=1),"ok","mal"))),"¿max.min.ofertado?")</f>
        <v>¿max.min.ofertado?</v>
      </c>
      <c r="N50" s="183" t="str">
        <f>+IF(OR($G$18=0,LEN($G$18)=0),"",IF(OR($G$18&lt;0,+$G$18/$G$18&lt;&gt;1),"Total oferta Lote incorrecto (no numérico o negativo)",IF(AND($G$18&gt;0,$H$61&gt;0,H50&lt;=0),"¿importe ofertado?",IF(AND($G$18&gt;0,$H$61&lt;0),"acum.of.oferta sede &gt;oferta lote",IF(AND($G$18&gt;0,$H$61&lt;&gt;0,H50&lt;VLOOKUP(B50,'% admitidos'!A:M,11,FALSE)),+"min."&amp;VLOOKUP(B50,'% admitidos'!A:M,11,FALSE),IF(AND($G$18&gt;0,$H$61&gt;0,H50&gt;VLOOKUP(B50,'% admitidos'!A:M,13,FALSE)),+"max."&amp;VLOOKUP(B50,'% admitidos'!A:M,13,FALSE),+H50))))))</f>
        <v/>
      </c>
      <c r="Q50" s="101"/>
      <c r="R50" s="101"/>
      <c r="S50" s="101"/>
      <c r="T50" s="101"/>
      <c r="U50" s="101"/>
      <c r="V50" s="101"/>
      <c r="W50" s="101"/>
    </row>
    <row r="51" spans="1:23" ht="12" customHeight="1" thickBot="1" x14ac:dyDescent="0.3">
      <c r="A51" s="147" t="s">
        <v>542</v>
      </c>
      <c r="B51" s="236" t="s">
        <v>390</v>
      </c>
      <c r="C51" s="240" t="str">
        <f>+IF(LEN('Anx I pg 1 oferta'!$C$56)&gt;0,"","min. "&amp;VLOOKUP(B50,'% admitidos'!A:M,11,FALSE)&amp;" - med.  "&amp;VLOOKUP(B50,'% admitidos'!A:M,12,FALSE)&amp;" - max.  "&amp;VLOOKUP(B50,'% admitidos'!A:M,13,FALSE))</f>
        <v>min. 0 - med.  0 - max.  0</v>
      </c>
      <c r="D51" s="61"/>
      <c r="E51" s="61"/>
      <c r="F51" s="67"/>
      <c r="G51" s="68"/>
      <c r="H51" s="123"/>
      <c r="J51" s="126"/>
      <c r="K51" s="126"/>
      <c r="L51" s="126"/>
      <c r="M51" s="279"/>
      <c r="N51" s="126"/>
    </row>
    <row r="52" spans="1:23" ht="21.95" customHeight="1" thickBot="1" x14ac:dyDescent="0.3">
      <c r="A52" s="147" t="str">
        <f>+'Anx I pg 1 oferta'!$B$18&amp;"T2_L06_inst_"&amp;B52</f>
        <v>T2_L06_inst_L06-12</v>
      </c>
      <c r="B52" s="176" t="s">
        <v>266</v>
      </c>
      <c r="C52" s="177" t="str">
        <f>+VLOOKUP(B52,'DATOS CENTROS'!B:F,4,FALSE)</f>
        <v>U.I. RTVE Salamanca</v>
      </c>
      <c r="D52" s="178"/>
      <c r="E52" s="179" t="str">
        <f>+VLOOKUP(B52,'DATOS CENTROS'!B:F,3,FALSE)</f>
        <v>C</v>
      </c>
      <c r="F52" s="180">
        <f>+VLOOKUP(B52,'DATOS CENTROS'!B:F,5,FALSE)</f>
        <v>2.1000000000000001E-2</v>
      </c>
      <c r="G52" s="181" t="str">
        <f>+IF(OR($G$18=0,LEN($G$18)=0),"",+ROUND(((H52)/$G$18),6))</f>
        <v/>
      </c>
      <c r="H52" s="217"/>
      <c r="J52" s="183"/>
      <c r="K52" s="183"/>
      <c r="L52" s="183"/>
      <c r="M52" s="277" t="str">
        <f>+IFERROR(IF(N52&lt;&gt;TRUNC(N52,2),".+ de 2 decim.",IF(COUNTA($H$29:$H$66)&lt;16,16-COUNTA($H$29:$H$66)&amp;" Items ptes.ofertar ",IF(AND($G$18&gt;0,$H$61&gt;0,(N52)/(N52)=1),"ok","mal"))),"¿max.min.ofertado?")</f>
        <v>¿max.min.ofertado?</v>
      </c>
      <c r="N52" s="183" t="str">
        <f>+IF(OR($G$18=0,LEN($G$18)=0),"",IF(OR($G$18&lt;0,+$G$18/$G$18&lt;&gt;1),"Total oferta Lote incorrecto (no numérico o negativo)",IF(AND($G$18&gt;0,$H$61&gt;0,H52&lt;=0),"¿importe ofertado?",IF(AND($G$18&gt;0,$H$61&lt;0),"acum.of.oferta sede &gt;oferta lote",IF(AND($G$18&gt;0,$H$61&gt;0,H52&lt;VLOOKUP(B52,'% admitidos'!A:M,11,FALSE)),+"min."&amp;VLOOKUP(B52,'% admitidos'!A:M,11,FALSE),IF(AND($G$18&gt;0,$H$61&gt;0,H52&gt;VLOOKUP(B52,'% admitidos'!A:M,13,FALSE)),+"max."&amp;VLOOKUP(B52,'% admitidos'!A:M,13,FALSE),+H52))))))</f>
        <v/>
      </c>
    </row>
    <row r="53" spans="1:23" ht="12" customHeight="1" thickTop="1" thickBot="1" x14ac:dyDescent="0.3">
      <c r="A53" s="147" t="s">
        <v>542</v>
      </c>
      <c r="B53" s="237" t="s">
        <v>390</v>
      </c>
      <c r="C53" s="248" t="str">
        <f>+IF(LEN('Anx I pg 1 oferta'!$C$56)&gt;0,"","min. "&amp;VLOOKUP(B52,'% admitidos'!A:M,11,FALSE)&amp;" - med.  "&amp;VLOOKUP(B52,'% admitidos'!A:M,12,FALSE)&amp;" - max.  "&amp;VLOOKUP(B52,'% admitidos'!A:M,13,FALSE))</f>
        <v>min. 0 - med.  0 - max.  0</v>
      </c>
      <c r="D53" s="135"/>
      <c r="E53" s="135"/>
      <c r="F53" s="136"/>
      <c r="G53" s="137"/>
      <c r="H53" s="138"/>
      <c r="J53" s="126"/>
      <c r="K53" s="126"/>
      <c r="L53" s="126"/>
      <c r="M53" s="279"/>
      <c r="N53" s="126"/>
    </row>
    <row r="54" spans="1:23" ht="21.95" customHeight="1" thickBot="1" x14ac:dyDescent="0.3">
      <c r="A54" s="147" t="str">
        <f>+'Anx I pg 1 oferta'!$B$18&amp;"T2_L06_inst_"&amp;B54</f>
        <v>T2_L06_inst_L06-13</v>
      </c>
      <c r="B54" s="176" t="s">
        <v>268</v>
      </c>
      <c r="C54" s="177" t="str">
        <f>+VLOOKUP(B54,'DATOS CENTROS'!B:F,4,FALSE)</f>
        <v>C.T. RNE Castilla y León</v>
      </c>
      <c r="D54" s="178"/>
      <c r="E54" s="179" t="str">
        <f>+VLOOKUP(B54,'DATOS CENTROS'!B:F,3,FALSE)</f>
        <v>C</v>
      </c>
      <c r="F54" s="180">
        <f>+VLOOKUP(B54,'DATOS CENTROS'!B:F,5,FALSE)</f>
        <v>2.5000000000000001E-2</v>
      </c>
      <c r="G54" s="181" t="str">
        <f>+IF(OR($G$18=0,LEN($G$18)=0),"",+ROUND(((H54)/$G$18),6))</f>
        <v/>
      </c>
      <c r="H54" s="217"/>
      <c r="J54" s="183"/>
      <c r="K54" s="183"/>
      <c r="L54" s="183"/>
      <c r="M54" s="277" t="str">
        <f>+IFERROR(IF(N54&lt;&gt;TRUNC(N54,2),".+ de 2 decim.",IF(COUNTA($H$29:$H$66)&lt;16,16-COUNTA($H$29:$H$66)&amp;" Items ptes.ofertar ",IF(AND($G$18&gt;0,$H$61&gt;0,(N54)/(N54)=1),"ok","mal"))),"¿max.min.ofertado?")</f>
        <v>¿max.min.ofertado?</v>
      </c>
      <c r="N54" s="183" t="str">
        <f>+IF(OR($G$18=0,LEN($G$18)=0),"",IF(OR($G$18&lt;0,+$G$18/$G$18&lt;&gt;1),"Total oferta Lote incorrecto (no numérico o negativo)",IF(AND($G$18&gt;0,$H$61&gt;0,H54&lt;=0),"¿importe ofertado?",IF(AND($G$18&gt;0,$H$61&lt;0),"acum.of.oferta sede &gt;oferta lote",IF(AND($G$18&gt;0,$H$61&gt;0,H54&lt;VLOOKUP(B54,'% admitidos'!A:M,11,FALSE)),+"min."&amp;VLOOKUP(B54,'% admitidos'!A:M,11,FALSE),IF(AND($G$18&gt;0,$H$61&gt;0,H54&gt;VLOOKUP(B54,'% admitidos'!A:M,13,FALSE)),+"max."&amp;VLOOKUP(B54,'% admitidos'!A:M,13,FALSE),+H54))))))</f>
        <v/>
      </c>
    </row>
    <row r="55" spans="1:23" ht="12" customHeight="1" thickBot="1" x14ac:dyDescent="0.3">
      <c r="A55" s="147" t="s">
        <v>542</v>
      </c>
      <c r="B55" s="236" t="s">
        <v>390</v>
      </c>
      <c r="C55" s="240" t="str">
        <f>+IF(LEN('Anx I pg 1 oferta'!$C$56)&gt;0,"","min. "&amp;VLOOKUP(B54,'% admitidos'!A:M,11,FALSE)&amp;" - med.  "&amp;VLOOKUP(B54,'% admitidos'!A:M,12,FALSE)&amp;" - max.  "&amp;VLOOKUP(B54,'% admitidos'!A:M,13,FALSE))</f>
        <v>min. 0 - med.  0 - max.  0</v>
      </c>
      <c r="D55" s="61"/>
      <c r="E55" s="61"/>
      <c r="F55" s="67"/>
      <c r="G55" s="67"/>
      <c r="H55" s="123"/>
      <c r="J55" s="126"/>
      <c r="K55" s="126"/>
      <c r="L55" s="126"/>
      <c r="M55" s="279"/>
      <c r="N55" s="126"/>
    </row>
    <row r="56" spans="1:23" ht="21.95" customHeight="1" thickBot="1" x14ac:dyDescent="0.3">
      <c r="A56" s="147" t="str">
        <f>+'Anx I pg 1 oferta'!$B$18&amp;"T2_L06_inst_"&amp;B56</f>
        <v>T2_L06_inst_L06-14</v>
      </c>
      <c r="B56" s="186" t="s">
        <v>270</v>
      </c>
      <c r="C56" s="187" t="str">
        <f>+VLOOKUP(B56,'DATOS CENTROS'!B:F,4,FALSE)</f>
        <v>U.I. RTVE Zamora</v>
      </c>
      <c r="D56" s="188"/>
      <c r="E56" s="189" t="str">
        <f>+VLOOKUP(B56,'DATOS CENTROS'!B:F,3,FALSE)</f>
        <v>C</v>
      </c>
      <c r="F56" s="220">
        <f>+VLOOKUP(B56,'DATOS CENTROS'!B:F,5,FALSE)</f>
        <v>1.7999999999999999E-2</v>
      </c>
      <c r="G56" s="190" t="str">
        <f>+IF(OR($G$18=0,LEN($G$18)=0),"",+ROUND(((H56)/$G$18),6))</f>
        <v/>
      </c>
      <c r="H56" s="218"/>
      <c r="J56" s="183"/>
      <c r="K56" s="183"/>
      <c r="L56" s="183"/>
      <c r="M56" s="277" t="str">
        <f>+IFERROR(IF(N56&lt;&gt;TRUNC(N56,2),".+ de 2 decim.",IF(COUNTA($H$29:$H$66)&lt;16,16-COUNTA($H$29:$H$66)&amp;" Items ptes.ofertar ",IF(AND($G$18&gt;0,$H$61&gt;0,(N56)/(N56)=1),"ok","mal"))),"¿max.min.ofertado?")</f>
        <v>¿max.min.ofertado?</v>
      </c>
      <c r="N56" s="183" t="str">
        <f>+IF(OR($G$18=0,LEN($G$18)=0),"",IF(OR($G$18&lt;0,+$G$18/$G$18&lt;&gt;1),"Total oferta Lote incorrecto (no numérico o negativo)",IF(AND($G$18&gt;0,$H$61&gt;0,H56&lt;=0),"¿importe ofertado?",IF(AND($G$18&gt;0,$H$61&lt;0),"acum.of.oferta sede &gt;oferta lote",IF(AND($G$18&gt;0,$H$61&gt;0,H56&lt;VLOOKUP(B56,'% admitidos'!A:M,11,FALSE)),+"min."&amp;VLOOKUP(B56,'% admitidos'!A:M,11,FALSE),IF(AND($G$18&gt;0,$H$61&gt;0,H56&gt;VLOOKUP(B56,'% admitidos'!A:M,13,FALSE)),+"max."&amp;VLOOKUP(B56,'% admitidos'!A:M,13,FALSE),+H56))))))</f>
        <v/>
      </c>
    </row>
    <row r="57" spans="1:23" ht="12" customHeight="1" thickTop="1" thickBot="1" x14ac:dyDescent="0.3">
      <c r="A57" s="147" t="s">
        <v>542</v>
      </c>
      <c r="B57" s="152" t="s">
        <v>390</v>
      </c>
      <c r="C57" s="254" t="str">
        <f>+IF(LEN('Anx I pg 1 oferta'!$C$56)&gt;0,"","min. "&amp;VLOOKUP(B56,'% admitidos'!A:M,11,FALSE)&amp;" - med.  "&amp;VLOOKUP(B56,'% admitidos'!A:M,12,FALSE)&amp;" - max.  "&amp;VLOOKUP(B56,'% admitidos'!A:M,13,FALSE))</f>
        <v>min. 0 - med.  0 - max.  0</v>
      </c>
      <c r="D57" s="54"/>
      <c r="E57" s="54"/>
      <c r="F57" s="69"/>
      <c r="G57" s="69"/>
      <c r="H57" s="71"/>
      <c r="J57" s="126"/>
      <c r="K57" s="126"/>
      <c r="L57" s="126"/>
      <c r="M57" s="279"/>
      <c r="N57" s="126"/>
    </row>
    <row r="58" spans="1:23" ht="15.75" thickBot="1" x14ac:dyDescent="0.3">
      <c r="A58" s="147" t="str">
        <f>+'Anx I pg 1 oferta'!$B$18&amp;"T2_L06_cab3(CA)"</f>
        <v>T2_L06_cab3(CA)</v>
      </c>
      <c r="B58" s="170" t="s">
        <v>390</v>
      </c>
      <c r="C58" s="171" t="s">
        <v>272</v>
      </c>
      <c r="D58" s="172"/>
      <c r="E58" s="172"/>
      <c r="F58" s="173"/>
      <c r="G58" s="173"/>
      <c r="H58" s="174"/>
      <c r="M58" s="12"/>
    </row>
    <row r="59" spans="1:23" ht="21.95" customHeight="1" thickBot="1" x14ac:dyDescent="0.3">
      <c r="A59" s="147" t="str">
        <f>+'Anx I pg 1 oferta'!$B$18&amp;"T2_L06_inst_"&amp;B59</f>
        <v>T2_L06_inst_L06-15</v>
      </c>
      <c r="B59" s="176" t="s">
        <v>273</v>
      </c>
      <c r="C59" s="177" t="str">
        <f>+VLOOKUP(B59,'DATOS CENTROS'!B:F,4,FALSE)</f>
        <v>C.E. FM y OM NARANCO</v>
      </c>
      <c r="D59" s="178"/>
      <c r="E59" s="179" t="str">
        <f>+VLOOKUP(B59,'DATOS CENTROS'!B:F,3,FALSE)</f>
        <v xml:space="preserve"> A + C</v>
      </c>
      <c r="F59" s="180">
        <f>+VLOOKUP(B59,'DATOS CENTROS'!B:F,5,FALSE)</f>
        <v>9.5000000000000001E-2</v>
      </c>
      <c r="G59" s="181" t="str">
        <f>+IF(OR($G$18=0,LEN($G$18)=0),"",+ROUND(((H59)/$G$18),6))</f>
        <v/>
      </c>
      <c r="H59" s="217"/>
      <c r="J59" s="183"/>
      <c r="K59" s="183"/>
      <c r="L59" s="183"/>
      <c r="M59" s="277" t="str">
        <f>+IFERROR(IF(N59&lt;&gt;TRUNC(N59,2),".+ de 2 decim.",IF(COUNTA($H$29:$H$66)&lt;16,16-COUNTA($H$29:$H$66)&amp;" Items ptes.ofertar ",IF(AND($G$18&gt;0,$H$61&gt;0,(N59)/(N59)=1),"ok","mal"))),"¿max.min.ofertado?")</f>
        <v>¿max.min.ofertado?</v>
      </c>
      <c r="N59" s="183" t="str">
        <f>+IF(OR($G$18=0,LEN($G$18)=0),"",IF(OR($G$18&lt;0,+$G$18/$G$18&lt;&gt;1),"Total oferta Lote incorrecto (no numérico o negativo)",IF(AND($G$18&gt;0,$H$61&gt;0,H59&lt;=0),"¿importe ofertado?",IF(AND($G$18&gt;0,$H$61&lt;0),"acum.of.oferta sede &gt;oferta lote",IF(AND($G$18&gt;0,$H$61&gt;0,H59&lt;VLOOKUP(B59,'% admitidos'!A:M,11,FALSE)),+"min."&amp;VLOOKUP(B59,'% admitidos'!A:M,11,FALSE),IF(AND($G$18&gt;0,$H$61&gt;0,H59&gt;VLOOKUP(B59,'% admitidos'!A:M,13,FALSE)),+"max."&amp;+ROUND(VLOOKUP(B59,'% admitidos'!A:M,13,FALSE),4),+H59))))))</f>
        <v/>
      </c>
    </row>
    <row r="60" spans="1:23" ht="12" customHeight="1" thickTop="1" thickBot="1" x14ac:dyDescent="0.3">
      <c r="A60" s="147" t="s">
        <v>542</v>
      </c>
      <c r="B60" s="237" t="s">
        <v>390</v>
      </c>
      <c r="C60" s="248" t="str">
        <f>+IF(LEN('Anx I pg 1 oferta'!$C$56)&gt;0,"","min. "&amp;VLOOKUP(B59,'% admitidos'!A:M,11,FALSE)&amp;" - med.  "&amp;VLOOKUP(B59,'% admitidos'!A:M,12,FALSE)&amp;" - max.  "&amp;+ROUND(VLOOKUP(B59,'% admitidos'!A:M,13,FALSE),6))</f>
        <v>min. 0 - med.  0 - max.  0</v>
      </c>
      <c r="D60" s="135"/>
      <c r="E60" s="135"/>
      <c r="F60" s="135"/>
      <c r="G60" s="135"/>
      <c r="H60" s="144"/>
      <c r="J60" s="107"/>
      <c r="K60" s="107"/>
      <c r="L60" s="107"/>
      <c r="M60" s="279"/>
      <c r="N60" s="107"/>
    </row>
    <row r="61" spans="1:23" ht="21.95" customHeight="1" thickBot="1" x14ac:dyDescent="0.3">
      <c r="A61" s="147" t="str">
        <f>+'Anx I pg 1 oferta'!$B$18&amp;"T2_L06_inst_"&amp;B61</f>
        <v>T2_L06_inst_L06-16</v>
      </c>
      <c r="B61" s="176" t="s">
        <v>275</v>
      </c>
      <c r="C61" s="177" t="str">
        <f>+VLOOKUP(B61,'DATOS CENTROS'!B:F,4,FALSE)</f>
        <v>C.T. RTVE Asturias</v>
      </c>
      <c r="D61" s="178"/>
      <c r="E61" s="179" t="str">
        <f>+VLOOKUP(B61,'DATOS CENTROS'!B:F,3,FALSE)</f>
        <v xml:space="preserve"> A + C</v>
      </c>
      <c r="F61" s="180">
        <f>+VLOOKUP(B61,'DATOS CENTROS'!B:F,5,FALSE)</f>
        <v>0.16500000000000001</v>
      </c>
      <c r="G61" s="195" t="str">
        <f>+IF(OR($G$18=0,LEN($G$18)=0),"",1-SUM(G29:G60)-SUM(G63:G66))</f>
        <v/>
      </c>
      <c r="H61" s="197" t="str">
        <f>+IF(OR($G$18=0,+LEN($G$18)=0),"",+$G$18-SUM(H29:H60)-SUM(H63:H66))</f>
        <v/>
      </c>
      <c r="J61" s="183"/>
      <c r="K61" s="183"/>
      <c r="L61" s="183"/>
      <c r="M61" s="277" t="str">
        <f>+IFERROR(IF(COUNTA($H$29:$H$66)&lt;16,16-COUNTA($H$29:$H$66)&amp;" Items ptes.ofertar ",IF(AND($G$18&gt;0,$H$38&gt;0,(N61)/(N61)=1),"ok","mal")),"¿max.min.ofertado?")</f>
        <v xml:space="preserve">15 Items ptes.ofertar </v>
      </c>
      <c r="N61" s="183" t="str">
        <f>+IF(OR($G$18=0,LEN($G$18)=0),"",IF(OR($G$18&lt;0,+$G$18/$G$18&lt;&gt;1),"Total oferta Lote incorrecto (no numérico o negativo)",IF(AND($G$18&gt;0,$H$61&gt;0,H61&lt;=0),"¿importe ofertado?",IF(AND($G$18&gt;0,$H$61&lt;0),"acum.of.oferta sede &gt;oferta lote",IF(AND($G$18&gt;0,$H$61&lt;&gt;0,H61&lt;VLOOKUP(B61,'% admitidos'!A:M,13,FALSE)),+"MIN."&amp;VLOOKUP(B61,'% admitidos'!A:M,13,FALSE),IF(AND($G$18&gt;0,$H$61&gt;0,H61&gt;VLOOKUP(B61,'% admitidos'!A:M,11,FALSE)),+"MAX."&amp;VLOOKUP(B61,'% admitidos'!A:M,11,FALSE),+H61))))))</f>
        <v/>
      </c>
      <c r="Q61" s="101"/>
      <c r="R61" s="101"/>
      <c r="S61" s="101"/>
      <c r="T61" s="101"/>
      <c r="U61" s="101"/>
      <c r="V61" s="101"/>
      <c r="W61" s="101"/>
    </row>
    <row r="62" spans="1:23" ht="12" customHeight="1" thickBot="1" x14ac:dyDescent="0.3">
      <c r="A62" s="147" t="s">
        <v>542</v>
      </c>
      <c r="B62" s="236" t="s">
        <v>390</v>
      </c>
      <c r="C62" s="240" t="str">
        <f>+IF(LEN('Anx I pg 1 oferta'!$C$56)&gt;0,"","MAX.  "&amp;VLOOKUP(B61,'% admitidos'!A:M,11,FALSE)&amp;" - med.  "&amp;VLOOKUP(B61,'% admitidos'!A:M,12,FALSE)&amp;" - MIN. "&amp;VLOOKUP(B61,'% admitidos'!A:M,13,FALSE))</f>
        <v>MAX.  0 - med.  0 - MIN. 0</v>
      </c>
      <c r="D62" s="61"/>
      <c r="E62" s="61"/>
      <c r="F62" s="67"/>
      <c r="G62" s="68"/>
      <c r="H62" s="123"/>
      <c r="J62" s="126"/>
      <c r="K62" s="126"/>
      <c r="L62" s="126"/>
      <c r="M62" s="279"/>
      <c r="N62" s="126"/>
    </row>
    <row r="63" spans="1:23" ht="30" hidden="1" customHeight="1" thickBot="1" x14ac:dyDescent="0.3">
      <c r="A63" s="147" t="s">
        <v>544</v>
      </c>
      <c r="B63" s="223" t="s">
        <v>390</v>
      </c>
      <c r="C63" s="187"/>
      <c r="D63" s="188"/>
      <c r="E63" s="189"/>
      <c r="F63" s="220"/>
      <c r="G63" s="190"/>
      <c r="H63" s="185"/>
      <c r="J63" s="183"/>
      <c r="K63" s="183"/>
      <c r="L63" s="183"/>
      <c r="M63" s="184"/>
      <c r="N63" s="183"/>
    </row>
    <row r="64" spans="1:23" ht="16.5" hidden="1" thickTop="1" thickBot="1" x14ac:dyDescent="0.3">
      <c r="A64" s="147" t="s">
        <v>544</v>
      </c>
      <c r="B64" s="152" t="s">
        <v>390</v>
      </c>
      <c r="C64" s="53"/>
      <c r="D64" s="54"/>
      <c r="E64" s="54"/>
      <c r="F64" s="69"/>
      <c r="G64" s="70"/>
      <c r="H64" s="124"/>
      <c r="J64" s="126"/>
      <c r="K64" s="126"/>
      <c r="L64" s="126"/>
      <c r="M64" s="87"/>
      <c r="N64" s="126"/>
    </row>
    <row r="65" spans="1:16" ht="30" hidden="1" customHeight="1" thickBot="1" x14ac:dyDescent="0.3">
      <c r="A65" s="147" t="s">
        <v>544</v>
      </c>
      <c r="B65" s="222" t="s">
        <v>390</v>
      </c>
      <c r="C65" s="177"/>
      <c r="D65" s="178"/>
      <c r="E65" s="179"/>
      <c r="F65" s="180"/>
      <c r="G65" s="181"/>
      <c r="H65" s="182"/>
      <c r="J65" s="183"/>
      <c r="K65" s="183"/>
      <c r="L65" s="183"/>
      <c r="M65" s="184"/>
      <c r="N65" s="183"/>
    </row>
    <row r="66" spans="1:16" ht="15.75" hidden="1" thickBot="1" x14ac:dyDescent="0.3">
      <c r="A66" s="147" t="s">
        <v>544</v>
      </c>
      <c r="B66" s="236" t="s">
        <v>390</v>
      </c>
      <c r="C66" s="60"/>
      <c r="D66" s="61"/>
      <c r="E66" s="61"/>
      <c r="F66" s="67"/>
      <c r="G66" s="67"/>
      <c r="H66" s="123"/>
      <c r="J66" s="87"/>
      <c r="N66" s="126"/>
    </row>
    <row r="67" spans="1:16" x14ac:dyDescent="0.25">
      <c r="A67" s="147" t="str">
        <f>+'Anx I pg 1 oferta'!$B$18&amp;"T2_L06_TOT"</f>
        <v>T2_L06_TOT</v>
      </c>
      <c r="B67" s="122"/>
      <c r="C67" s="122"/>
      <c r="D67" s="122"/>
      <c r="E67" s="122"/>
      <c r="F67" s="285">
        <f>SUM(F29:F66)</f>
        <v>1.0000000000000002</v>
      </c>
      <c r="G67" s="286">
        <f>SUM(G29:G66)</f>
        <v>0</v>
      </c>
      <c r="H67" s="287">
        <f>SUM(H29:H66)</f>
        <v>0</v>
      </c>
      <c r="I67" s="15"/>
    </row>
    <row r="68" spans="1:16" x14ac:dyDescent="0.25">
      <c r="A68" s="147" t="s">
        <v>544</v>
      </c>
    </row>
    <row r="69" spans="1:16" x14ac:dyDescent="0.25">
      <c r="A69" s="147" t="s">
        <v>544</v>
      </c>
      <c r="M69" s="82"/>
      <c r="P69" s="82"/>
    </row>
    <row r="70" spans="1:16" x14ac:dyDescent="0.25">
      <c r="A70" s="147" t="s">
        <v>544</v>
      </c>
    </row>
    <row r="71" spans="1:16" ht="30" customHeight="1" x14ac:dyDescent="0.25">
      <c r="A71" s="147" t="s">
        <v>544</v>
      </c>
      <c r="B71" s="226" t="s">
        <v>530</v>
      </c>
    </row>
    <row r="72" spans="1:16" x14ac:dyDescent="0.25">
      <c r="A72" s="147" t="s">
        <v>544</v>
      </c>
    </row>
    <row r="73" spans="1:16" x14ac:dyDescent="0.25">
      <c r="A73" s="147" t="s">
        <v>544</v>
      </c>
      <c r="B73" s="2" t="s">
        <v>535</v>
      </c>
    </row>
    <row r="74" spans="1:16" ht="15.75" thickBot="1" x14ac:dyDescent="0.3">
      <c r="A74" s="147" t="s">
        <v>544</v>
      </c>
      <c r="B74" s="2" t="str">
        <f>+$B$11</f>
        <v>Lote  6 : CCAA Cantabria, Castilla-León y Asturias.</v>
      </c>
    </row>
    <row r="75" spans="1:16" ht="30" customHeight="1" thickBot="1" x14ac:dyDescent="0.3">
      <c r="A75" s="147" t="str">
        <f>+'Anx I pg 1 oferta'!$B$18&amp;"T3_L06_cab0a"</f>
        <v>T3_L06_cab0a</v>
      </c>
      <c r="B75" s="200" t="s">
        <v>59</v>
      </c>
      <c r="C75" s="200" t="s">
        <v>379</v>
      </c>
      <c r="D75" s="200" t="s">
        <v>60</v>
      </c>
      <c r="E75" s="200" t="s">
        <v>359</v>
      </c>
      <c r="F75" s="201" t="s">
        <v>378</v>
      </c>
      <c r="G75" s="105" t="s">
        <v>533</v>
      </c>
      <c r="H75" s="103" t="s">
        <v>360</v>
      </c>
      <c r="I75" s="103" t="s">
        <v>361</v>
      </c>
      <c r="J75" s="106" t="s">
        <v>380</v>
      </c>
      <c r="K75" s="274" t="s">
        <v>490</v>
      </c>
      <c r="L75" s="202"/>
    </row>
    <row r="76" spans="1:16" ht="15.75" thickBot="1" x14ac:dyDescent="0.3">
      <c r="A76" s="147" t="str">
        <f>+'Anx I pg 1 oferta'!$B$18&amp;"T3_L06_cab0b"</f>
        <v>T3_L06_cab0b</v>
      </c>
      <c r="B76" s="203" t="str">
        <f>+B27</f>
        <v>LOTE-06</v>
      </c>
      <c r="C76" s="204" t="str">
        <f>+C27</f>
        <v>(plazo de 2 meses)</v>
      </c>
      <c r="D76" s="205"/>
      <c r="E76" s="206"/>
      <c r="F76" s="207">
        <v>1</v>
      </c>
      <c r="G76" s="208"/>
      <c r="H76" s="205"/>
      <c r="I76" s="205"/>
      <c r="J76" s="205"/>
      <c r="K76" s="206"/>
      <c r="L76" s="202"/>
    </row>
    <row r="77" spans="1:16" ht="15.75" thickBot="1" x14ac:dyDescent="0.3">
      <c r="A77" s="147" t="str">
        <f>+'Anx I pg 1 oferta'!$B$18&amp;"T3_L06_cab1(CA)"</f>
        <v>T3_L06_cab1(CA)</v>
      </c>
      <c r="B77" s="209" t="s">
        <v>390</v>
      </c>
      <c r="C77" s="210" t="str">
        <f>+C28</f>
        <v>CANTABRIA</v>
      </c>
      <c r="D77" s="211"/>
      <c r="E77" s="211"/>
      <c r="F77" s="211"/>
      <c r="G77" s="211"/>
      <c r="H77" s="211"/>
      <c r="I77" s="211"/>
      <c r="J77" s="211"/>
      <c r="K77" s="212">
        <f>+G18</f>
        <v>0</v>
      </c>
      <c r="L77" s="202"/>
    </row>
    <row r="78" spans="1:16" ht="15.75" thickBot="1" x14ac:dyDescent="0.3">
      <c r="A78" s="147" t="str">
        <f>+'Anx I pg 1 oferta'!$B$18&amp;"T3_L06_inst_"&amp;B78&amp;"DA1"</f>
        <v>T3_L06_inst_L06-01DA1</v>
      </c>
      <c r="B78" s="348" t="s">
        <v>243</v>
      </c>
      <c r="C78" s="351" t="str">
        <f>+VLOOKUP(B78,'DATOS CENTROS'!B:E,2,FALSE)</f>
        <v>Rostrio</v>
      </c>
      <c r="D78" s="354" t="str">
        <f>+VLOOKUP(B78,'DATOS CENTROS'!B:E,3,FALSE)</f>
        <v xml:space="preserve"> A + C</v>
      </c>
      <c r="E78" s="357" t="str">
        <f>+VLOOKUP(B78,'DATOS CENTROS'!B:E,4,FALSE)</f>
        <v>C.E. FM SANTANDER</v>
      </c>
      <c r="F78" s="360">
        <f>+VLOOKUP(B78,'DATOS CENTROS'!B:F,5,FALSE)</f>
        <v>0.14399999999999999</v>
      </c>
      <c r="G78" s="342" t="str">
        <f>+IF(G29&gt;0,G29,"")</f>
        <v/>
      </c>
      <c r="H78" s="213" t="s">
        <v>25</v>
      </c>
      <c r="I78" s="214">
        <v>0.15</v>
      </c>
      <c r="J78" s="215" t="e">
        <f>+IF($K$78&gt;0,+ROUND($K$78*I78,0),"")</f>
        <v>#VALUE!</v>
      </c>
      <c r="K78" s="345" t="str">
        <f>+IFERROR(IF(OR($G$18=0,LEN($G$18)=0),"",IF(AND(M29="ok",(H29/H29)=1),N29,"")),"¿?")</f>
        <v/>
      </c>
      <c r="L78" s="202"/>
    </row>
    <row r="79" spans="1:16" ht="15.75" thickBot="1" x14ac:dyDescent="0.3">
      <c r="A79" s="147" t="str">
        <f>+'Anx I pg 1 oferta'!$B$18&amp;"T3_L06_inst_"&amp;B78&amp;"DA2"</f>
        <v>T3_L06_inst_L06-01DA2</v>
      </c>
      <c r="B79" s="349"/>
      <c r="C79" s="352"/>
      <c r="D79" s="355"/>
      <c r="E79" s="358"/>
      <c r="F79" s="361"/>
      <c r="G79" s="343"/>
      <c r="H79" s="213" t="s">
        <v>26</v>
      </c>
      <c r="I79" s="214">
        <v>0.1</v>
      </c>
      <c r="J79" s="215" t="e">
        <f t="shared" ref="J79:J81" si="0">+IF($K$78&gt;0,+ROUND($K$78*I79,0),"")</f>
        <v>#VALUE!</v>
      </c>
      <c r="K79" s="346"/>
      <c r="L79" s="202"/>
    </row>
    <row r="80" spans="1:16" ht="15.75" thickBot="1" x14ac:dyDescent="0.3">
      <c r="A80" s="147" t="str">
        <f>+'Anx I pg 1 oferta'!$B$18&amp;"T3_L06_inst_"&amp;B78&amp;"DA3"</f>
        <v>T3_L06_inst_L06-01DA3</v>
      </c>
      <c r="B80" s="349"/>
      <c r="C80" s="352"/>
      <c r="D80" s="355"/>
      <c r="E80" s="358"/>
      <c r="F80" s="361"/>
      <c r="G80" s="343"/>
      <c r="H80" s="213" t="s">
        <v>27</v>
      </c>
      <c r="I80" s="214">
        <v>0.2</v>
      </c>
      <c r="J80" s="215" t="e">
        <f t="shared" si="0"/>
        <v>#VALUE!</v>
      </c>
      <c r="K80" s="346"/>
      <c r="L80" s="202"/>
    </row>
    <row r="81" spans="1:12" ht="15.75" thickBot="1" x14ac:dyDescent="0.3">
      <c r="A81" s="147" t="str">
        <f>+'Anx I pg 1 oferta'!$B$18&amp;"T3_L06_inst_"&amp;B78&amp;"DA4"</f>
        <v>T3_L06_inst_L06-01DA4</v>
      </c>
      <c r="B81" s="349"/>
      <c r="C81" s="352"/>
      <c r="D81" s="355"/>
      <c r="E81" s="358"/>
      <c r="F81" s="361"/>
      <c r="G81" s="343"/>
      <c r="H81" s="213" t="s">
        <v>57</v>
      </c>
      <c r="I81" s="214">
        <v>0.05</v>
      </c>
      <c r="J81" s="215" t="e">
        <f t="shared" si="0"/>
        <v>#VALUE!</v>
      </c>
      <c r="K81" s="346"/>
      <c r="L81" s="202"/>
    </row>
    <row r="82" spans="1:12" ht="15.75" thickBot="1" x14ac:dyDescent="0.3">
      <c r="A82" s="147" t="str">
        <f>+'Anx I pg 1 oferta'!$B$18&amp;"T3_L06_inst_"&amp;B78&amp;"DA5"</f>
        <v>T3_L06_inst_L06-01DA5</v>
      </c>
      <c r="B82" s="350"/>
      <c r="C82" s="353"/>
      <c r="D82" s="356"/>
      <c r="E82" s="359"/>
      <c r="F82" s="362"/>
      <c r="G82" s="344"/>
      <c r="H82" s="213" t="s">
        <v>364</v>
      </c>
      <c r="I82" s="214">
        <v>0.5</v>
      </c>
      <c r="J82" s="215" t="e">
        <f>+IF($K$78&gt;0,+$K$78-SUM(J78:J81),"")</f>
        <v>#VALUE!</v>
      </c>
      <c r="K82" s="347"/>
      <c r="L82" s="202"/>
    </row>
    <row r="83" spans="1:12" ht="15.75" customHeight="1" thickBot="1" x14ac:dyDescent="0.3">
      <c r="A83" s="147" t="str">
        <f>+'Anx I pg 1 oferta'!$B$18&amp;"T3_L06_inst_"&amp;B83&amp;"DA1"</f>
        <v>T3_L06_inst_L06-02DA1</v>
      </c>
      <c r="B83" s="348" t="s">
        <v>245</v>
      </c>
      <c r="C83" s="351" t="str">
        <f>+VLOOKUP(B83,'DATOS CENTROS'!B:E,2,FALSE)</f>
        <v>Polígono de Raos, s/n</v>
      </c>
      <c r="D83" s="354" t="str">
        <f>+VLOOKUP(B83,'DATOS CENTROS'!B:E,3,FALSE)</f>
        <v xml:space="preserve"> A + C</v>
      </c>
      <c r="E83" s="357" t="str">
        <f>+VLOOKUP(B83,'DATOS CENTROS'!B:E,4,FALSE)</f>
        <v>C.T. RTVE Santander</v>
      </c>
      <c r="F83" s="360">
        <f>+VLOOKUP(B83,'DATOS CENTROS'!B:F,5,FALSE)</f>
        <v>0.13700000000000001</v>
      </c>
      <c r="G83" s="342" t="str">
        <f>+IF(G31&gt;0,G31,"")</f>
        <v/>
      </c>
      <c r="H83" s="213" t="s">
        <v>25</v>
      </c>
      <c r="I83" s="214">
        <v>0.15</v>
      </c>
      <c r="J83" s="215" t="e">
        <f>+IF($K$83&gt;0,+ROUND($K$83*I83,0),"")</f>
        <v>#VALUE!</v>
      </c>
      <c r="K83" s="345" t="str">
        <f>+IFERROR(IF(OR($G$18=0,LEN($G$18)=0),"",IF(AND(M31="ok",(H31/H31)=1),N31,"")),"¿?")</f>
        <v/>
      </c>
      <c r="L83" s="202"/>
    </row>
    <row r="84" spans="1:12" ht="15.75" thickBot="1" x14ac:dyDescent="0.3">
      <c r="A84" s="147" t="str">
        <f>+'Anx I pg 1 oferta'!$B$18&amp;"T3_L06_inst_"&amp;B83&amp;"DA2"</f>
        <v>T3_L06_inst_L06-02DA2</v>
      </c>
      <c r="B84" s="349"/>
      <c r="C84" s="352"/>
      <c r="D84" s="355"/>
      <c r="E84" s="358"/>
      <c r="F84" s="361"/>
      <c r="G84" s="343"/>
      <c r="H84" s="213" t="s">
        <v>26</v>
      </c>
      <c r="I84" s="214">
        <v>0.1</v>
      </c>
      <c r="J84" s="215" t="e">
        <f t="shared" ref="J84:J86" si="1">+IF($K$83&gt;0,+ROUND($K$83*I84,0),"")</f>
        <v>#VALUE!</v>
      </c>
      <c r="K84" s="346"/>
      <c r="L84" s="202"/>
    </row>
    <row r="85" spans="1:12" ht="15.75" thickBot="1" x14ac:dyDescent="0.3">
      <c r="A85" s="147" t="str">
        <f>+'Anx I pg 1 oferta'!$B$18&amp;"T3_L06_inst_"&amp;B83&amp;"DA3"</f>
        <v>T3_L06_inst_L06-02DA3</v>
      </c>
      <c r="B85" s="349"/>
      <c r="C85" s="352"/>
      <c r="D85" s="355"/>
      <c r="E85" s="358"/>
      <c r="F85" s="361"/>
      <c r="G85" s="343"/>
      <c r="H85" s="213" t="s">
        <v>27</v>
      </c>
      <c r="I85" s="214">
        <v>0.2</v>
      </c>
      <c r="J85" s="215" t="e">
        <f t="shared" si="1"/>
        <v>#VALUE!</v>
      </c>
      <c r="K85" s="346"/>
      <c r="L85" s="202"/>
    </row>
    <row r="86" spans="1:12" ht="15.75" thickBot="1" x14ac:dyDescent="0.3">
      <c r="A86" s="147" t="str">
        <f>+'Anx I pg 1 oferta'!$B$18&amp;"T3_L06_inst_"&amp;B83&amp;"DA4"</f>
        <v>T3_L06_inst_L06-02DA4</v>
      </c>
      <c r="B86" s="349"/>
      <c r="C86" s="352"/>
      <c r="D86" s="355"/>
      <c r="E86" s="358"/>
      <c r="F86" s="361"/>
      <c r="G86" s="343"/>
      <c r="H86" s="213" t="s">
        <v>57</v>
      </c>
      <c r="I86" s="214">
        <v>0.05</v>
      </c>
      <c r="J86" s="215" t="e">
        <f t="shared" si="1"/>
        <v>#VALUE!</v>
      </c>
      <c r="K86" s="346"/>
      <c r="L86" s="202"/>
    </row>
    <row r="87" spans="1:12" ht="15.75" thickBot="1" x14ac:dyDescent="0.3">
      <c r="A87" s="147" t="str">
        <f>+'Anx I pg 1 oferta'!$B$18&amp;"T3_L06_inst_"&amp;B83&amp;"DA5"</f>
        <v>T3_L06_inst_L06-02DA5</v>
      </c>
      <c r="B87" s="350"/>
      <c r="C87" s="353"/>
      <c r="D87" s="356"/>
      <c r="E87" s="359"/>
      <c r="F87" s="362"/>
      <c r="G87" s="344"/>
      <c r="H87" s="213" t="s">
        <v>364</v>
      </c>
      <c r="I87" s="214">
        <v>0.5</v>
      </c>
      <c r="J87" s="215" t="e">
        <f>+IF($K$83&gt;0,+$K$83-SUM(J83:J86),"")</f>
        <v>#VALUE!</v>
      </c>
      <c r="K87" s="347"/>
      <c r="L87" s="202"/>
    </row>
    <row r="88" spans="1:12" ht="15.75" thickBot="1" x14ac:dyDescent="0.3">
      <c r="A88" s="147" t="str">
        <f>+'Anx I pg 1 oferta'!$B$18&amp;"T3_L06_inst_"&amp;B88&amp;"DA1"</f>
        <v>T3_L06_inst_L06-03DA1</v>
      </c>
      <c r="B88" s="348" t="s">
        <v>247</v>
      </c>
      <c r="C88" s="351" t="str">
        <f>+VLOOKUP(B88,'DATOS CENTROS'!B:E,2,FALSE)</f>
        <v>Calle  Vargas 49 Plta. Entl  39010</v>
      </c>
      <c r="D88" s="354" t="str">
        <f>+VLOOKUP(B88,'DATOS CENTROS'!B:E,3,FALSE)</f>
        <v>C</v>
      </c>
      <c r="E88" s="357" t="str">
        <f>+VLOOKUP(B88,'DATOS CENTROS'!B:E,4,FALSE)</f>
        <v>S.U. Santander (Vargas)</v>
      </c>
      <c r="F88" s="360">
        <f>+VLOOKUP(B88,'DATOS CENTROS'!B:F,5,FALSE)</f>
        <v>3.2000000000000001E-2</v>
      </c>
      <c r="G88" s="342" t="str">
        <f>+IF(G33&gt;0,G33,"")</f>
        <v/>
      </c>
      <c r="H88" s="213" t="s">
        <v>25</v>
      </c>
      <c r="I88" s="214">
        <v>0.15</v>
      </c>
      <c r="J88" s="215" t="e">
        <f>+IF($K$88&gt;0,+ROUND($K$88*I88,0),"")</f>
        <v>#VALUE!</v>
      </c>
      <c r="K88" s="345" t="str">
        <f>+IFERROR(IF(OR($G$18=0,LEN($G$18)=0),"",IF(AND(M33="ok",(H33/H33)=1),N33,"")),"¿?")</f>
        <v/>
      </c>
      <c r="L88" s="202"/>
    </row>
    <row r="89" spans="1:12" ht="15.75" thickBot="1" x14ac:dyDescent="0.3">
      <c r="A89" s="147" t="str">
        <f>+'Anx I pg 1 oferta'!$B$18&amp;"T3_L06_inst_"&amp;B88&amp;"DA2"</f>
        <v>T3_L06_inst_L06-03DA2</v>
      </c>
      <c r="B89" s="349"/>
      <c r="C89" s="352"/>
      <c r="D89" s="355"/>
      <c r="E89" s="358"/>
      <c r="F89" s="361"/>
      <c r="G89" s="343"/>
      <c r="H89" s="213" t="s">
        <v>26</v>
      </c>
      <c r="I89" s="214">
        <v>0.1</v>
      </c>
      <c r="J89" s="215" t="e">
        <f t="shared" ref="J89:J91" si="2">+IF($K$88&gt;0,+ROUND($K$88*I89,0),"")</f>
        <v>#VALUE!</v>
      </c>
      <c r="K89" s="346"/>
      <c r="L89" s="202"/>
    </row>
    <row r="90" spans="1:12" ht="15.75" thickBot="1" x14ac:dyDescent="0.3">
      <c r="A90" s="147" t="str">
        <f>+'Anx I pg 1 oferta'!$B$18&amp;"T3_L06_inst_"&amp;B88&amp;"DA3"</f>
        <v>T3_L06_inst_L06-03DA3</v>
      </c>
      <c r="B90" s="349"/>
      <c r="C90" s="352"/>
      <c r="D90" s="355"/>
      <c r="E90" s="358"/>
      <c r="F90" s="361"/>
      <c r="G90" s="343"/>
      <c r="H90" s="213" t="s">
        <v>27</v>
      </c>
      <c r="I90" s="214">
        <v>0.2</v>
      </c>
      <c r="J90" s="215" t="e">
        <f t="shared" si="2"/>
        <v>#VALUE!</v>
      </c>
      <c r="K90" s="346"/>
      <c r="L90" s="202"/>
    </row>
    <row r="91" spans="1:12" ht="15.75" thickBot="1" x14ac:dyDescent="0.3">
      <c r="A91" s="147" t="str">
        <f>+'Anx I pg 1 oferta'!$B$18&amp;"T3_L06_inst_"&amp;B88&amp;"DA4"</f>
        <v>T3_L06_inst_L06-03DA4</v>
      </c>
      <c r="B91" s="349"/>
      <c r="C91" s="352"/>
      <c r="D91" s="355"/>
      <c r="E91" s="358"/>
      <c r="F91" s="361"/>
      <c r="G91" s="343"/>
      <c r="H91" s="213" t="s">
        <v>57</v>
      </c>
      <c r="I91" s="214">
        <v>0.05</v>
      </c>
      <c r="J91" s="215" t="e">
        <f t="shared" si="2"/>
        <v>#VALUE!</v>
      </c>
      <c r="K91" s="346"/>
      <c r="L91" s="202"/>
    </row>
    <row r="92" spans="1:12" ht="15.75" thickBot="1" x14ac:dyDescent="0.3">
      <c r="A92" s="147" t="str">
        <f>+'Anx I pg 1 oferta'!$B$18&amp;"T3_L06_inst_"&amp;B88&amp;"DA5"</f>
        <v>T3_L06_inst_L06-03DA5</v>
      </c>
      <c r="B92" s="350"/>
      <c r="C92" s="353"/>
      <c r="D92" s="356"/>
      <c r="E92" s="359"/>
      <c r="F92" s="362"/>
      <c r="G92" s="344"/>
      <c r="H92" s="213" t="s">
        <v>364</v>
      </c>
      <c r="I92" s="214">
        <v>0.5</v>
      </c>
      <c r="J92" s="215" t="e">
        <f>+IF($K$88&gt;0,+$K$88-SUM(J88:J91),"")</f>
        <v>#VALUE!</v>
      </c>
      <c r="K92" s="347"/>
      <c r="L92" s="202"/>
    </row>
    <row r="93" spans="1:12" ht="15.75" thickBot="1" x14ac:dyDescent="0.3">
      <c r="A93" s="147" t="str">
        <f>+'Anx I pg 1 oferta'!$B$18&amp;"T3_L06_inst_"&amp;B93&amp;"DA1"</f>
        <v>T3_L06_inst_L06-04DA1</v>
      </c>
      <c r="B93" s="348" t="s">
        <v>249</v>
      </c>
      <c r="C93" s="351" t="str">
        <f>+VLOOKUP(B93,'DATOS CENTROS'!B:E,2,FALSE)</f>
        <v>Avenida  Besaya 1 Plantas 4ª y 5ª  39300</v>
      </c>
      <c r="D93" s="354" t="str">
        <f>+VLOOKUP(B93,'DATOS CENTROS'!B:E,3,FALSE)</f>
        <v>C</v>
      </c>
      <c r="E93" s="357" t="str">
        <f>+VLOOKUP(B93,'DATOS CENTROS'!B:E,4,FALSE)</f>
        <v>S.U. Torrelavega</v>
      </c>
      <c r="F93" s="360">
        <f>+VLOOKUP(B93,'DATOS CENTROS'!B:F,5,FALSE)</f>
        <v>2.1000000000000001E-2</v>
      </c>
      <c r="G93" s="342" t="str">
        <f>+IF(G35&gt;0,G35,"")</f>
        <v/>
      </c>
      <c r="H93" s="213" t="s">
        <v>25</v>
      </c>
      <c r="I93" s="214">
        <v>0.15</v>
      </c>
      <c r="J93" s="215" t="e">
        <f>+IF($K$93&gt;0,+ROUND($K$93*I93,0),"")</f>
        <v>#VALUE!</v>
      </c>
      <c r="K93" s="345" t="str">
        <f>+IFERROR(IF(OR($G$18=0,LEN($G$18)=0),"",IF(AND(M35="ok",(H35/H35)=1),N35,"")),"¿?")</f>
        <v/>
      </c>
      <c r="L93" s="202"/>
    </row>
    <row r="94" spans="1:12" ht="15.75" thickBot="1" x14ac:dyDescent="0.3">
      <c r="A94" s="147" t="str">
        <f>+'Anx I pg 1 oferta'!$B$18&amp;"T3_L06_inst_"&amp;B93&amp;"DA2"</f>
        <v>T3_L06_inst_L06-04DA2</v>
      </c>
      <c r="B94" s="349"/>
      <c r="C94" s="352"/>
      <c r="D94" s="355"/>
      <c r="E94" s="358"/>
      <c r="F94" s="361"/>
      <c r="G94" s="343"/>
      <c r="H94" s="213" t="s">
        <v>26</v>
      </c>
      <c r="I94" s="214">
        <v>0.1</v>
      </c>
      <c r="J94" s="215" t="e">
        <f t="shared" ref="J94:J96" si="3">+IF($K$93&gt;0,+ROUND($K$93*I94,0),"")</f>
        <v>#VALUE!</v>
      </c>
      <c r="K94" s="346"/>
      <c r="L94" s="202"/>
    </row>
    <row r="95" spans="1:12" ht="15.75" thickBot="1" x14ac:dyDescent="0.3">
      <c r="A95" s="147" t="str">
        <f>+'Anx I pg 1 oferta'!$B$18&amp;"T3_L06_inst_"&amp;B93&amp;"DA3"</f>
        <v>T3_L06_inst_L06-04DA3</v>
      </c>
      <c r="B95" s="349"/>
      <c r="C95" s="352"/>
      <c r="D95" s="355"/>
      <c r="E95" s="358"/>
      <c r="F95" s="361"/>
      <c r="G95" s="343"/>
      <c r="H95" s="213" t="s">
        <v>27</v>
      </c>
      <c r="I95" s="214">
        <v>0.2</v>
      </c>
      <c r="J95" s="215" t="e">
        <f t="shared" si="3"/>
        <v>#VALUE!</v>
      </c>
      <c r="K95" s="346"/>
      <c r="L95" s="202"/>
    </row>
    <row r="96" spans="1:12" ht="15.75" thickBot="1" x14ac:dyDescent="0.3">
      <c r="A96" s="147" t="str">
        <f>+'Anx I pg 1 oferta'!$B$18&amp;"T3_L06_inst_"&amp;B93&amp;"DA4"</f>
        <v>T3_L06_inst_L06-04DA4</v>
      </c>
      <c r="B96" s="349"/>
      <c r="C96" s="352"/>
      <c r="D96" s="355"/>
      <c r="E96" s="358"/>
      <c r="F96" s="361"/>
      <c r="G96" s="343"/>
      <c r="H96" s="213" t="s">
        <v>57</v>
      </c>
      <c r="I96" s="214">
        <v>0.05</v>
      </c>
      <c r="J96" s="215" t="e">
        <f t="shared" si="3"/>
        <v>#VALUE!</v>
      </c>
      <c r="K96" s="346"/>
      <c r="L96" s="202"/>
    </row>
    <row r="97" spans="1:12" ht="15.75" thickBot="1" x14ac:dyDescent="0.3">
      <c r="A97" s="147" t="str">
        <f>+'Anx I pg 1 oferta'!$B$18&amp;"T3_L06_inst_"&amp;B93&amp;"DA5"</f>
        <v>T3_L06_inst_L06-04DA5</v>
      </c>
      <c r="B97" s="350"/>
      <c r="C97" s="353"/>
      <c r="D97" s="356"/>
      <c r="E97" s="359"/>
      <c r="F97" s="362"/>
      <c r="G97" s="344"/>
      <c r="H97" s="213" t="s">
        <v>364</v>
      </c>
      <c r="I97" s="214">
        <v>0.5</v>
      </c>
      <c r="J97" s="215" t="e">
        <f>+IF($K$93&gt;0,+$K$93-SUM(J93:J96),"")</f>
        <v>#VALUE!</v>
      </c>
      <c r="K97" s="347"/>
      <c r="L97" s="202"/>
    </row>
    <row r="98" spans="1:12" ht="15.75" thickBot="1" x14ac:dyDescent="0.3">
      <c r="A98" s="147" t="str">
        <f>+'Anx I pg 1 oferta'!$B$18&amp;"T3_L06_cab2(CA)"</f>
        <v>T3_L06_cab2(CA)</v>
      </c>
      <c r="B98" s="209" t="s">
        <v>390</v>
      </c>
      <c r="C98" s="210" t="s">
        <v>251</v>
      </c>
      <c r="D98" s="211"/>
      <c r="E98" s="211"/>
      <c r="F98" s="211"/>
      <c r="G98" s="211"/>
      <c r="H98" s="211"/>
      <c r="I98" s="211"/>
      <c r="J98" s="211"/>
    </row>
    <row r="99" spans="1:12" ht="15.75" thickBot="1" x14ac:dyDescent="0.3">
      <c r="A99" s="147" t="str">
        <f>+'Anx I pg 1 oferta'!$B$18&amp;"T3_L06_inst_"&amp;B99&amp;"DA1"</f>
        <v>T3_L06_inst_L06-05DA1</v>
      </c>
      <c r="B99" s="348" t="s">
        <v>252</v>
      </c>
      <c r="C99" s="351" t="str">
        <f>+VLOOKUP(B99,'DATOS CENTROS'!B:E,2,FALSE)</f>
        <v>San Cristóbal</v>
      </c>
      <c r="D99" s="354" t="str">
        <f>+VLOOKUP(B99,'DATOS CENTROS'!B:E,3,FALSE)</f>
        <v xml:space="preserve"> A + C</v>
      </c>
      <c r="E99" s="357" t="str">
        <f>+VLOOKUP(B99,'DATOS CENTROS'!B:E,4,FALSE)</f>
        <v>C.E. SAN CRISTOBAL</v>
      </c>
      <c r="F99" s="360">
        <f>+VLOOKUP(B99,'DATOS CENTROS'!B:F,5,FALSE)</f>
        <v>9.1999999999999998E-2</v>
      </c>
      <c r="G99" s="342" t="str">
        <f>+IF(G38&gt;0,G38,"")</f>
        <v/>
      </c>
      <c r="H99" s="213" t="s">
        <v>25</v>
      </c>
      <c r="I99" s="214">
        <v>0.15</v>
      </c>
      <c r="J99" s="215" t="e">
        <f>+IF($K$99&gt;0,+ROUND($K$99*I99,0),"")</f>
        <v>#VALUE!</v>
      </c>
      <c r="K99" s="345" t="str">
        <f>+IFERROR(IF(OR($G$18=0,LEN($G$18)=0),"",IF(AND(M38="ok",(H38/H38)=1),N38,"")),"¿?")</f>
        <v/>
      </c>
      <c r="L99" s="202"/>
    </row>
    <row r="100" spans="1:12" ht="15.75" thickBot="1" x14ac:dyDescent="0.3">
      <c r="A100" s="147" t="str">
        <f>+'Anx I pg 1 oferta'!$B$18&amp;"T3_L06_inst_"&amp;B99&amp;"DA2"</f>
        <v>T3_L06_inst_L06-05DA2</v>
      </c>
      <c r="B100" s="349"/>
      <c r="C100" s="352"/>
      <c r="D100" s="355"/>
      <c r="E100" s="358"/>
      <c r="F100" s="361"/>
      <c r="G100" s="343"/>
      <c r="H100" s="213" t="s">
        <v>26</v>
      </c>
      <c r="I100" s="214">
        <v>0.1</v>
      </c>
      <c r="J100" s="215" t="e">
        <f t="shared" ref="J100:J102" si="4">+IF($K$99&gt;0,+ROUND($K$99*I100,0),"")</f>
        <v>#VALUE!</v>
      </c>
      <c r="K100" s="346"/>
      <c r="L100" s="202"/>
    </row>
    <row r="101" spans="1:12" ht="15.75" thickBot="1" x14ac:dyDescent="0.3">
      <c r="A101" s="147" t="str">
        <f>+'Anx I pg 1 oferta'!$B$18&amp;"T3_L06_inst_"&amp;B99&amp;"DA3"</f>
        <v>T3_L06_inst_L06-05DA3</v>
      </c>
      <c r="B101" s="349"/>
      <c r="C101" s="352"/>
      <c r="D101" s="355"/>
      <c r="E101" s="358"/>
      <c r="F101" s="361"/>
      <c r="G101" s="343"/>
      <c r="H101" s="213" t="s">
        <v>27</v>
      </c>
      <c r="I101" s="214">
        <v>0.2</v>
      </c>
      <c r="J101" s="215" t="e">
        <f t="shared" si="4"/>
        <v>#VALUE!</v>
      </c>
      <c r="K101" s="346"/>
      <c r="L101" s="202"/>
    </row>
    <row r="102" spans="1:12" ht="15.75" thickBot="1" x14ac:dyDescent="0.3">
      <c r="A102" s="147" t="str">
        <f>+'Anx I pg 1 oferta'!$B$18&amp;"T3_L06_inst_"&amp;B99&amp;"DA4"</f>
        <v>T3_L06_inst_L06-05DA4</v>
      </c>
      <c r="B102" s="349"/>
      <c r="C102" s="352"/>
      <c r="D102" s="355"/>
      <c r="E102" s="358"/>
      <c r="F102" s="361"/>
      <c r="G102" s="343"/>
      <c r="H102" s="213" t="s">
        <v>57</v>
      </c>
      <c r="I102" s="214">
        <v>0.05</v>
      </c>
      <c r="J102" s="215" t="e">
        <f t="shared" si="4"/>
        <v>#VALUE!</v>
      </c>
      <c r="K102" s="346"/>
      <c r="L102" s="202"/>
    </row>
    <row r="103" spans="1:12" ht="15.75" thickBot="1" x14ac:dyDescent="0.3">
      <c r="A103" s="147" t="str">
        <f>+'Anx I pg 1 oferta'!$B$18&amp;"T3_L06_inst_"&amp;B99&amp;"DA5"</f>
        <v>T3_L06_inst_L06-05DA5</v>
      </c>
      <c r="B103" s="350"/>
      <c r="C103" s="353"/>
      <c r="D103" s="356"/>
      <c r="E103" s="359"/>
      <c r="F103" s="362"/>
      <c r="G103" s="344"/>
      <c r="H103" s="213" t="s">
        <v>364</v>
      </c>
      <c r="I103" s="214">
        <v>0.5</v>
      </c>
      <c r="J103" s="215" t="e">
        <f>+IF($K$99&gt;0,+$K$99-SUM(J99:J102),"")</f>
        <v>#VALUE!</v>
      </c>
      <c r="K103" s="347"/>
      <c r="L103" s="202"/>
    </row>
    <row r="104" spans="1:12" ht="15.75" thickBot="1" x14ac:dyDescent="0.3">
      <c r="A104" s="147" t="str">
        <f>+'Anx I pg 1 oferta'!$B$18&amp;"T3_L06_inst_"&amp;B104&amp;"DA1"</f>
        <v>T3_L06_inst_L06-06DA1</v>
      </c>
      <c r="B104" s="348" t="s">
        <v>254</v>
      </c>
      <c r="C104" s="351" t="str">
        <f>+VLOOKUP(B104,'DATOS CENTROS'!B:E,2,FALSE)</f>
        <v>Colegio D. Juan de Austria</v>
      </c>
      <c r="D104" s="354" t="str">
        <f>+VLOOKUP(B104,'DATOS CENTROS'!B:E,3,FALSE)</f>
        <v xml:space="preserve"> A + C</v>
      </c>
      <c r="E104" s="357" t="str">
        <f>+VLOOKUP(B104,'DATOS CENTROS'!B:E,4,FALSE)</f>
        <v>C.T. TVE Valladolid</v>
      </c>
      <c r="F104" s="360">
        <f>+VLOOKUP(B104,'DATOS CENTROS'!B:F,5,FALSE)</f>
        <v>0.12</v>
      </c>
      <c r="G104" s="342" t="str">
        <f>+IF(G40&gt;0,G40,"")</f>
        <v/>
      </c>
      <c r="H104" s="213" t="s">
        <v>25</v>
      </c>
      <c r="I104" s="214">
        <v>0.15</v>
      </c>
      <c r="J104" s="215" t="e">
        <f>+IF($K$104&gt;0,+ROUND($K$104*I104,0),"")</f>
        <v>#VALUE!</v>
      </c>
      <c r="K104" s="345" t="str">
        <f>+IFERROR(IF(OR($G$18=0,LEN($G$18)=0),"",IF(AND(M40="ok",(H40/H40)=1),N40,"")),"¿?")</f>
        <v/>
      </c>
      <c r="L104" s="202"/>
    </row>
    <row r="105" spans="1:12" ht="15.75" thickBot="1" x14ac:dyDescent="0.3">
      <c r="A105" s="147" t="str">
        <f>+'Anx I pg 1 oferta'!$B$18&amp;"T3_L06_inst_"&amp;B104&amp;"DA2"</f>
        <v>T3_L06_inst_L06-06DA2</v>
      </c>
      <c r="B105" s="349"/>
      <c r="C105" s="352"/>
      <c r="D105" s="355"/>
      <c r="E105" s="358"/>
      <c r="F105" s="361"/>
      <c r="G105" s="343"/>
      <c r="H105" s="213" t="s">
        <v>26</v>
      </c>
      <c r="I105" s="214">
        <v>0.1</v>
      </c>
      <c r="J105" s="215" t="e">
        <f t="shared" ref="J105:J107" si="5">+IF($K$104&gt;0,+ROUND($K$104*I105,0),"")</f>
        <v>#VALUE!</v>
      </c>
      <c r="K105" s="346"/>
      <c r="L105" s="202"/>
    </row>
    <row r="106" spans="1:12" ht="15.75" thickBot="1" x14ac:dyDescent="0.3">
      <c r="A106" s="147" t="str">
        <f>+'Anx I pg 1 oferta'!$B$18&amp;"T3_L06_inst_"&amp;B104&amp;"DA3"</f>
        <v>T3_L06_inst_L06-06DA3</v>
      </c>
      <c r="B106" s="349"/>
      <c r="C106" s="352"/>
      <c r="D106" s="355"/>
      <c r="E106" s="358"/>
      <c r="F106" s="361"/>
      <c r="G106" s="343"/>
      <c r="H106" s="213" t="s">
        <v>27</v>
      </c>
      <c r="I106" s="214">
        <v>0.2</v>
      </c>
      <c r="J106" s="215" t="e">
        <f t="shared" si="5"/>
        <v>#VALUE!</v>
      </c>
      <c r="K106" s="346"/>
      <c r="L106" s="202"/>
    </row>
    <row r="107" spans="1:12" ht="15.75" thickBot="1" x14ac:dyDescent="0.3">
      <c r="A107" s="147" t="str">
        <f>+'Anx I pg 1 oferta'!$B$18&amp;"T3_L06_inst_"&amp;B104&amp;"DA4"</f>
        <v>T3_L06_inst_L06-06DA4</v>
      </c>
      <c r="B107" s="349"/>
      <c r="C107" s="352"/>
      <c r="D107" s="355"/>
      <c r="E107" s="358"/>
      <c r="F107" s="361"/>
      <c r="G107" s="343"/>
      <c r="H107" s="213" t="s">
        <v>57</v>
      </c>
      <c r="I107" s="214">
        <v>0.05</v>
      </c>
      <c r="J107" s="215" t="e">
        <f t="shared" si="5"/>
        <v>#VALUE!</v>
      </c>
      <c r="K107" s="346"/>
      <c r="L107" s="202"/>
    </row>
    <row r="108" spans="1:12" ht="15.75" thickBot="1" x14ac:dyDescent="0.3">
      <c r="A108" s="147" t="str">
        <f>+'Anx I pg 1 oferta'!$B$18&amp;"T3_L06_inst_"&amp;B104&amp;"DA5"</f>
        <v>T3_L06_inst_L06-06DA5</v>
      </c>
      <c r="B108" s="350"/>
      <c r="C108" s="353"/>
      <c r="D108" s="356"/>
      <c r="E108" s="359"/>
      <c r="F108" s="362"/>
      <c r="G108" s="344"/>
      <c r="H108" s="213" t="s">
        <v>364</v>
      </c>
      <c r="I108" s="214">
        <v>0.5</v>
      </c>
      <c r="J108" s="215" t="e">
        <f>+IF($K$104&gt;0,+$K$104-SUM(J104:J107),"")</f>
        <v>#VALUE!</v>
      </c>
      <c r="K108" s="347"/>
      <c r="L108" s="202"/>
    </row>
    <row r="109" spans="1:12" ht="15.75" customHeight="1" thickBot="1" x14ac:dyDescent="0.3">
      <c r="A109" s="147" t="str">
        <f>+'Anx I pg 1 oferta'!$B$18&amp;"T3_L06_inst_"&amp;B109&amp;"DA1"</f>
        <v>T3_L06_inst_L06-07DA1</v>
      </c>
      <c r="B109" s="348" t="s">
        <v>256</v>
      </c>
      <c r="C109" s="351" t="str">
        <f>+VLOOKUP(B109,'DATOS CENTROS'!B:E,2,FALSE)</f>
        <v>Calle  Campo 5 5ª Planta  42001</v>
      </c>
      <c r="D109" s="354" t="str">
        <f>+VLOOKUP(B109,'DATOS CENTROS'!B:E,3,FALSE)</f>
        <v>C</v>
      </c>
      <c r="E109" s="357" t="str">
        <f>+VLOOKUP(B109,'DATOS CENTROS'!B:E,4,FALSE)</f>
        <v>U.I. RTVE Soria</v>
      </c>
      <c r="F109" s="360">
        <f>+VLOOKUP(B109,'DATOS CENTROS'!B:F,5,FALSE)</f>
        <v>2.1000000000000001E-2</v>
      </c>
      <c r="G109" s="342" t="str">
        <f>+IF(G42&gt;0,G42,"")</f>
        <v/>
      </c>
      <c r="H109" s="213" t="s">
        <v>25</v>
      </c>
      <c r="I109" s="214">
        <v>0.15</v>
      </c>
      <c r="J109" s="215" t="e">
        <f>+IF($K$109&gt;0,+ROUND($K$109*I109,0),"")</f>
        <v>#VALUE!</v>
      </c>
      <c r="K109" s="345" t="str">
        <f>+IFERROR(IF(OR($G$18=0,LEN($G$18)=0),"",IF(AND(M42="ok",(H42/H42)=1),N42,"")),"¿?")</f>
        <v/>
      </c>
      <c r="L109" s="202"/>
    </row>
    <row r="110" spans="1:12" ht="15.75" thickBot="1" x14ac:dyDescent="0.3">
      <c r="A110" s="147" t="str">
        <f>+'Anx I pg 1 oferta'!$B$18&amp;"T3_L06_inst_"&amp;B109&amp;"DA2"</f>
        <v>T3_L06_inst_L06-07DA2</v>
      </c>
      <c r="B110" s="349"/>
      <c r="C110" s="352"/>
      <c r="D110" s="355"/>
      <c r="E110" s="358"/>
      <c r="F110" s="361"/>
      <c r="G110" s="343"/>
      <c r="H110" s="213" t="s">
        <v>26</v>
      </c>
      <c r="I110" s="214">
        <v>0.1</v>
      </c>
      <c r="J110" s="215" t="e">
        <f t="shared" ref="J110:J112" si="6">+IF($K$109&gt;0,+ROUND($K$109*I110,0),"")</f>
        <v>#VALUE!</v>
      </c>
      <c r="K110" s="346"/>
      <c r="L110" s="202"/>
    </row>
    <row r="111" spans="1:12" ht="15.75" thickBot="1" x14ac:dyDescent="0.3">
      <c r="A111" s="147" t="str">
        <f>+'Anx I pg 1 oferta'!$B$18&amp;"T3_L06_inst_"&amp;B109&amp;"DA3"</f>
        <v>T3_L06_inst_L06-07DA3</v>
      </c>
      <c r="B111" s="349"/>
      <c r="C111" s="352"/>
      <c r="D111" s="355"/>
      <c r="E111" s="358"/>
      <c r="F111" s="361"/>
      <c r="G111" s="343"/>
      <c r="H111" s="213" t="s">
        <v>27</v>
      </c>
      <c r="I111" s="214">
        <v>0.2</v>
      </c>
      <c r="J111" s="215" t="e">
        <f t="shared" si="6"/>
        <v>#VALUE!</v>
      </c>
      <c r="K111" s="346"/>
      <c r="L111" s="202"/>
    </row>
    <row r="112" spans="1:12" ht="15.75" thickBot="1" x14ac:dyDescent="0.3">
      <c r="A112" s="147" t="str">
        <f>+'Anx I pg 1 oferta'!$B$18&amp;"T3_L06_inst_"&amp;B109&amp;"DA4"</f>
        <v>T3_L06_inst_L06-07DA4</v>
      </c>
      <c r="B112" s="349"/>
      <c r="C112" s="352"/>
      <c r="D112" s="355"/>
      <c r="E112" s="358"/>
      <c r="F112" s="361"/>
      <c r="G112" s="343"/>
      <c r="H112" s="213" t="s">
        <v>57</v>
      </c>
      <c r="I112" s="214">
        <v>0.05</v>
      </c>
      <c r="J112" s="215" t="e">
        <f t="shared" si="6"/>
        <v>#VALUE!</v>
      </c>
      <c r="K112" s="346"/>
      <c r="L112" s="202"/>
    </row>
    <row r="113" spans="1:12" ht="15.75" thickBot="1" x14ac:dyDescent="0.3">
      <c r="A113" s="147" t="str">
        <f>+'Anx I pg 1 oferta'!$B$18&amp;"T3_L06_inst_"&amp;B109&amp;"DA5"</f>
        <v>T3_L06_inst_L06-07DA5</v>
      </c>
      <c r="B113" s="350"/>
      <c r="C113" s="353"/>
      <c r="D113" s="356"/>
      <c r="E113" s="359"/>
      <c r="F113" s="362"/>
      <c r="G113" s="344"/>
      <c r="H113" s="213" t="s">
        <v>364</v>
      </c>
      <c r="I113" s="214">
        <v>0.5</v>
      </c>
      <c r="J113" s="215" t="e">
        <f>+IF($K$109&gt;0,+$K$109-SUM(J109:J112),"")</f>
        <v>#VALUE!</v>
      </c>
      <c r="K113" s="347"/>
      <c r="L113" s="202"/>
    </row>
    <row r="114" spans="1:12" ht="15.75" thickBot="1" x14ac:dyDescent="0.3">
      <c r="A114" s="147" t="str">
        <f>+'Anx I pg 1 oferta'!$B$18&amp;"T3_L06_inst_"&amp;B114&amp;"DA1"</f>
        <v>T3_L06_inst_L06-08DA1</v>
      </c>
      <c r="B114" s="348" t="s">
        <v>258</v>
      </c>
      <c r="C114" s="351" t="str">
        <f>+VLOOKUP(B114,'DATOS CENTROS'!B:E,2,FALSE)</f>
        <v>Calle  Ave María 9 2º Izda. Y Dcha  24402</v>
      </c>
      <c r="D114" s="354" t="str">
        <f>+VLOOKUP(B114,'DATOS CENTROS'!B:E,3,FALSE)</f>
        <v>C</v>
      </c>
      <c r="E114" s="357" t="str">
        <f>+VLOOKUP(B114,'DATOS CENTROS'!B:E,4,FALSE)</f>
        <v>U.I. RTVE Ponferrada</v>
      </c>
      <c r="F114" s="360">
        <f>+VLOOKUP(B114,'DATOS CENTROS'!B:F,5,FALSE)</f>
        <v>2.1000000000000001E-2</v>
      </c>
      <c r="G114" s="342" t="str">
        <f>+IF(G44&gt;0,G44,"")</f>
        <v/>
      </c>
      <c r="H114" s="213" t="s">
        <v>25</v>
      </c>
      <c r="I114" s="214">
        <v>0.15</v>
      </c>
      <c r="J114" s="215" t="e">
        <f>+IF($K$114&gt;0,+ROUND($K$114*I114,0),"")</f>
        <v>#VALUE!</v>
      </c>
      <c r="K114" s="345" t="str">
        <f>+IFERROR(IF(OR($G$18=0,LEN($G$18)=0),"",IF(AND(M44="ok",(H44/H44)=1),N44,"")),"¿?")</f>
        <v/>
      </c>
      <c r="L114" s="202"/>
    </row>
    <row r="115" spans="1:12" ht="15.75" thickBot="1" x14ac:dyDescent="0.3">
      <c r="A115" s="147" t="str">
        <f>+'Anx I pg 1 oferta'!$B$18&amp;"T3_L06_inst_"&amp;B114&amp;"DA2"</f>
        <v>T3_L06_inst_L06-08DA2</v>
      </c>
      <c r="B115" s="349"/>
      <c r="C115" s="352"/>
      <c r="D115" s="355"/>
      <c r="E115" s="358"/>
      <c r="F115" s="361"/>
      <c r="G115" s="343"/>
      <c r="H115" s="213" t="s">
        <v>26</v>
      </c>
      <c r="I115" s="214">
        <v>0.1</v>
      </c>
      <c r="J115" s="215" t="e">
        <f t="shared" ref="J115:J117" si="7">+IF($K$114&gt;0,+ROUND($K$114*I115,0),"")</f>
        <v>#VALUE!</v>
      </c>
      <c r="K115" s="346"/>
      <c r="L115" s="202"/>
    </row>
    <row r="116" spans="1:12" ht="15.75" thickBot="1" x14ac:dyDescent="0.3">
      <c r="A116" s="147" t="str">
        <f>+'Anx I pg 1 oferta'!$B$18&amp;"T3_L06_inst_"&amp;B114&amp;"DA3"</f>
        <v>T3_L06_inst_L06-08DA3</v>
      </c>
      <c r="B116" s="349"/>
      <c r="C116" s="352"/>
      <c r="D116" s="355"/>
      <c r="E116" s="358"/>
      <c r="F116" s="361"/>
      <c r="G116" s="343"/>
      <c r="H116" s="213" t="s">
        <v>27</v>
      </c>
      <c r="I116" s="214">
        <v>0.2</v>
      </c>
      <c r="J116" s="215" t="e">
        <f t="shared" si="7"/>
        <v>#VALUE!</v>
      </c>
      <c r="K116" s="346"/>
      <c r="L116" s="202"/>
    </row>
    <row r="117" spans="1:12" ht="15.75" thickBot="1" x14ac:dyDescent="0.3">
      <c r="A117" s="147" t="str">
        <f>+'Anx I pg 1 oferta'!$B$18&amp;"T3_L06_inst_"&amp;B114&amp;"DA4"</f>
        <v>T3_L06_inst_L06-08DA4</v>
      </c>
      <c r="B117" s="349"/>
      <c r="C117" s="352"/>
      <c r="D117" s="355"/>
      <c r="E117" s="358"/>
      <c r="F117" s="361"/>
      <c r="G117" s="343"/>
      <c r="H117" s="213" t="s">
        <v>57</v>
      </c>
      <c r="I117" s="214">
        <v>0.05</v>
      </c>
      <c r="J117" s="215" t="e">
        <f t="shared" si="7"/>
        <v>#VALUE!</v>
      </c>
      <c r="K117" s="346"/>
      <c r="L117" s="202"/>
    </row>
    <row r="118" spans="1:12" ht="15.75" thickBot="1" x14ac:dyDescent="0.3">
      <c r="A118" s="147" t="str">
        <f>+'Anx I pg 1 oferta'!$B$18&amp;"T3_L06_inst_"&amp;B114&amp;"DA5"</f>
        <v>T3_L06_inst_L06-08DA5</v>
      </c>
      <c r="B118" s="350"/>
      <c r="C118" s="353"/>
      <c r="D118" s="356"/>
      <c r="E118" s="359"/>
      <c r="F118" s="362"/>
      <c r="G118" s="344"/>
      <c r="H118" s="213" t="s">
        <v>364</v>
      </c>
      <c r="I118" s="214">
        <v>0.5</v>
      </c>
      <c r="J118" s="215" t="e">
        <f>+IF($K$114&gt;0,+$K$114-SUM(J114:J117),"")</f>
        <v>#VALUE!</v>
      </c>
      <c r="K118" s="347"/>
      <c r="L118" s="202"/>
    </row>
    <row r="119" spans="1:12" ht="15.75" thickBot="1" x14ac:dyDescent="0.3">
      <c r="A119" s="147" t="str">
        <f>+'Anx I pg 1 oferta'!$B$18&amp;"T3_L06_inst_"&amp;B119&amp;"DA1"</f>
        <v>T3_L06_inst_L06-09DA1</v>
      </c>
      <c r="B119" s="348" t="s">
        <v>260</v>
      </c>
      <c r="C119" s="351" t="str">
        <f>+VLOOKUP(B119,'DATOS CENTROS'!B:E,2,FALSE)</f>
        <v>Calle  Santa Clara 2 Bajo  05001</v>
      </c>
      <c r="D119" s="354" t="str">
        <f>+VLOOKUP(B119,'DATOS CENTROS'!B:E,3,FALSE)</f>
        <v>C</v>
      </c>
      <c r="E119" s="357" t="str">
        <f>+VLOOKUP(B119,'DATOS CENTROS'!B:E,4,FALSE)</f>
        <v>U.I. RTVE Ávila</v>
      </c>
      <c r="F119" s="360">
        <f>+VLOOKUP(B119,'DATOS CENTROS'!B:F,5,FALSE)</f>
        <v>2.8000000000000001E-2</v>
      </c>
      <c r="G119" s="342" t="str">
        <f>+IF(G46&gt;0,G46,"")</f>
        <v/>
      </c>
      <c r="H119" s="213" t="s">
        <v>25</v>
      </c>
      <c r="I119" s="214">
        <v>0.15</v>
      </c>
      <c r="J119" s="215" t="e">
        <f>+IF($K$119&gt;0,+ROUND($K$119*I119,0),"")</f>
        <v>#VALUE!</v>
      </c>
      <c r="K119" s="345" t="str">
        <f>+IFERROR(IF(OR($G$18=0,LEN($G$18)=0),"",IF(AND(M46="ok",(H46/H46)=1),N46,"")),"¿?")</f>
        <v/>
      </c>
      <c r="L119" s="202"/>
    </row>
    <row r="120" spans="1:12" ht="15.75" thickBot="1" x14ac:dyDescent="0.3">
      <c r="A120" s="147" t="str">
        <f>+'Anx I pg 1 oferta'!$B$18&amp;"T3_L06_inst_"&amp;B119&amp;"DA2"</f>
        <v>T3_L06_inst_L06-09DA2</v>
      </c>
      <c r="B120" s="349"/>
      <c r="C120" s="352"/>
      <c r="D120" s="355"/>
      <c r="E120" s="358"/>
      <c r="F120" s="361"/>
      <c r="G120" s="343"/>
      <c r="H120" s="213" t="s">
        <v>26</v>
      </c>
      <c r="I120" s="214">
        <v>0.1</v>
      </c>
      <c r="J120" s="215" t="e">
        <f t="shared" ref="J120:J122" si="8">+IF($K$119&gt;0,+ROUND($K$119*I120,0),"")</f>
        <v>#VALUE!</v>
      </c>
      <c r="K120" s="346"/>
      <c r="L120" s="202"/>
    </row>
    <row r="121" spans="1:12" ht="15.75" thickBot="1" x14ac:dyDescent="0.3">
      <c r="A121" s="147" t="str">
        <f>+'Anx I pg 1 oferta'!$B$18&amp;"T3_L06_inst_"&amp;B119&amp;"DA3"</f>
        <v>T3_L06_inst_L06-09DA3</v>
      </c>
      <c r="B121" s="349"/>
      <c r="C121" s="352"/>
      <c r="D121" s="355"/>
      <c r="E121" s="358"/>
      <c r="F121" s="361"/>
      <c r="G121" s="343"/>
      <c r="H121" s="213" t="s">
        <v>27</v>
      </c>
      <c r="I121" s="214">
        <v>0.2</v>
      </c>
      <c r="J121" s="215" t="e">
        <f t="shared" si="8"/>
        <v>#VALUE!</v>
      </c>
      <c r="K121" s="346"/>
      <c r="L121" s="202"/>
    </row>
    <row r="122" spans="1:12" ht="15.75" thickBot="1" x14ac:dyDescent="0.3">
      <c r="A122" s="147" t="str">
        <f>+'Anx I pg 1 oferta'!$B$18&amp;"T3_L06_inst_"&amp;B119&amp;"DA4"</f>
        <v>T3_L06_inst_L06-09DA4</v>
      </c>
      <c r="B122" s="349"/>
      <c r="C122" s="352"/>
      <c r="D122" s="355"/>
      <c r="E122" s="358"/>
      <c r="F122" s="361"/>
      <c r="G122" s="343"/>
      <c r="H122" s="213" t="s">
        <v>57</v>
      </c>
      <c r="I122" s="214">
        <v>0.05</v>
      </c>
      <c r="J122" s="215" t="e">
        <f t="shared" si="8"/>
        <v>#VALUE!</v>
      </c>
      <c r="K122" s="346"/>
      <c r="L122" s="202"/>
    </row>
    <row r="123" spans="1:12" ht="15.75" thickBot="1" x14ac:dyDescent="0.3">
      <c r="A123" s="147" t="str">
        <f>+'Anx I pg 1 oferta'!$B$18&amp;"T3_L06_inst_"&amp;B119&amp;"DA5"</f>
        <v>T3_L06_inst_L06-09DA5</v>
      </c>
      <c r="B123" s="350"/>
      <c r="C123" s="353"/>
      <c r="D123" s="356"/>
      <c r="E123" s="359"/>
      <c r="F123" s="362"/>
      <c r="G123" s="344"/>
      <c r="H123" s="213" t="s">
        <v>364</v>
      </c>
      <c r="I123" s="214">
        <v>0.5</v>
      </c>
      <c r="J123" s="215" t="e">
        <f>+IF($K$119&gt;0,+$K$119-SUM(J119:J122),"")</f>
        <v>#VALUE!</v>
      </c>
      <c r="K123" s="347"/>
      <c r="L123" s="202"/>
    </row>
    <row r="124" spans="1:12" ht="15.75" thickBot="1" x14ac:dyDescent="0.3">
      <c r="A124" s="147" t="str">
        <f>+'Anx I pg 1 oferta'!$B$18&amp;"T3_L06_inst_"&amp;B124&amp;"DA1"</f>
        <v>T3_L06_inst_L06-10DA1</v>
      </c>
      <c r="B124" s="348" t="s">
        <v>262</v>
      </c>
      <c r="C124" s="351" t="str">
        <f>+VLOOKUP(B124,'DATOS CENTROS'!B:E,2,FALSE)</f>
        <v>Barrio Gimeno 11 Plta. Baja  09001</v>
      </c>
      <c r="D124" s="354" t="str">
        <f>+VLOOKUP(B124,'DATOS CENTROS'!B:E,3,FALSE)</f>
        <v>C</v>
      </c>
      <c r="E124" s="357" t="str">
        <f>+VLOOKUP(B124,'DATOS CENTROS'!B:E,4,FALSE)</f>
        <v>U.I. RTVE Burgos</v>
      </c>
      <c r="F124" s="360">
        <f>+VLOOKUP(B124,'DATOS CENTROS'!B:F,5,FALSE)</f>
        <v>3.5000000000000003E-2</v>
      </c>
      <c r="G124" s="342" t="str">
        <f>+IF(G48&gt;0,G48,"")</f>
        <v/>
      </c>
      <c r="H124" s="213" t="s">
        <v>25</v>
      </c>
      <c r="I124" s="214">
        <v>0.15</v>
      </c>
      <c r="J124" s="215" t="e">
        <f>+IF($K$124&gt;0,+ROUND($K$124*I124,0),"")</f>
        <v>#VALUE!</v>
      </c>
      <c r="K124" s="345" t="str">
        <f>+IFERROR(IF(OR($G$18=0,LEN($G$18)=0),"",IF(AND(M48="ok",(H48/H48)=1),N48,"")),"¿?")</f>
        <v/>
      </c>
      <c r="L124" s="202"/>
    </row>
    <row r="125" spans="1:12" ht="15.75" thickBot="1" x14ac:dyDescent="0.3">
      <c r="A125" s="147" t="str">
        <f>+'Anx I pg 1 oferta'!$B$18&amp;"T3_L06_inst_"&amp;B124&amp;"DA2"</f>
        <v>T3_L06_inst_L06-10DA2</v>
      </c>
      <c r="B125" s="349"/>
      <c r="C125" s="352"/>
      <c r="D125" s="355"/>
      <c r="E125" s="358"/>
      <c r="F125" s="361"/>
      <c r="G125" s="343"/>
      <c r="H125" s="213" t="s">
        <v>26</v>
      </c>
      <c r="I125" s="214">
        <v>0.1</v>
      </c>
      <c r="J125" s="215" t="e">
        <f t="shared" ref="J125:J127" si="9">+IF($K$124&gt;0,+ROUND($K$124*I125,0),"")</f>
        <v>#VALUE!</v>
      </c>
      <c r="K125" s="346"/>
      <c r="L125" s="202"/>
    </row>
    <row r="126" spans="1:12" ht="15.75" thickBot="1" x14ac:dyDescent="0.3">
      <c r="A126" s="147" t="str">
        <f>+'Anx I pg 1 oferta'!$B$18&amp;"T3_L06_inst_"&amp;B124&amp;"DA3"</f>
        <v>T3_L06_inst_L06-10DA3</v>
      </c>
      <c r="B126" s="349"/>
      <c r="C126" s="352"/>
      <c r="D126" s="355"/>
      <c r="E126" s="358"/>
      <c r="F126" s="361"/>
      <c r="G126" s="343"/>
      <c r="H126" s="213" t="s">
        <v>27</v>
      </c>
      <c r="I126" s="214">
        <v>0.2</v>
      </c>
      <c r="J126" s="215" t="e">
        <f t="shared" si="9"/>
        <v>#VALUE!</v>
      </c>
      <c r="K126" s="346"/>
      <c r="L126" s="202"/>
    </row>
    <row r="127" spans="1:12" ht="15.75" thickBot="1" x14ac:dyDescent="0.3">
      <c r="A127" s="147" t="str">
        <f>+'Anx I pg 1 oferta'!$B$18&amp;"T3_L06_inst_"&amp;B124&amp;"DA4"</f>
        <v>T3_L06_inst_L06-10DA4</v>
      </c>
      <c r="B127" s="349"/>
      <c r="C127" s="352"/>
      <c r="D127" s="355"/>
      <c r="E127" s="358"/>
      <c r="F127" s="361"/>
      <c r="G127" s="343"/>
      <c r="H127" s="213" t="s">
        <v>57</v>
      </c>
      <c r="I127" s="214">
        <v>0.05</v>
      </c>
      <c r="J127" s="215" t="e">
        <f t="shared" si="9"/>
        <v>#VALUE!</v>
      </c>
      <c r="K127" s="346"/>
      <c r="L127" s="202"/>
    </row>
    <row r="128" spans="1:12" ht="15.75" thickBot="1" x14ac:dyDescent="0.3">
      <c r="A128" s="147" t="str">
        <f>+'Anx I pg 1 oferta'!$B$18&amp;"T3_L06_inst_"&amp;B124&amp;"DA5"</f>
        <v>T3_L06_inst_L06-10DA5</v>
      </c>
      <c r="B128" s="350"/>
      <c r="C128" s="353"/>
      <c r="D128" s="356"/>
      <c r="E128" s="359"/>
      <c r="F128" s="362"/>
      <c r="G128" s="344"/>
      <c r="H128" s="213" t="s">
        <v>364</v>
      </c>
      <c r="I128" s="214">
        <v>0.5</v>
      </c>
      <c r="J128" s="215" t="e">
        <f>+IF($K$124&gt;0,+$K$124-SUM(J124:J127),"")</f>
        <v>#VALUE!</v>
      </c>
      <c r="K128" s="347"/>
      <c r="L128" s="202"/>
    </row>
    <row r="129" spans="1:12" ht="15.75" thickBot="1" x14ac:dyDescent="0.3">
      <c r="A129" s="147" t="str">
        <f>+'Anx I pg 1 oferta'!$B$18&amp;"T3_L06_inst_"&amp;B129&amp;"DA1"</f>
        <v>T3_L06_inst_L06-11DA1</v>
      </c>
      <c r="B129" s="348" t="s">
        <v>264</v>
      </c>
      <c r="C129" s="351" t="str">
        <f>+VLOOKUP(B129,'DATOS CENTROS'!B:E,2,FALSE)</f>
        <v>Avenida  Ordoño II 28 Pl. 1º drcha.-izda  24001</v>
      </c>
      <c r="D129" s="354" t="str">
        <f>+VLOOKUP(B129,'DATOS CENTROS'!B:E,3,FALSE)</f>
        <v>C</v>
      </c>
      <c r="E129" s="357" t="str">
        <f>+VLOOKUP(B129,'DATOS CENTROS'!B:E,4,FALSE)</f>
        <v>U.I. RTVE León</v>
      </c>
      <c r="F129" s="360">
        <f>+VLOOKUP(B129,'DATOS CENTROS'!B:F,5,FALSE)</f>
        <v>2.5000000000000001E-2</v>
      </c>
      <c r="G129" s="342" t="str">
        <f>+IF(G50&gt;0,G50,"")</f>
        <v/>
      </c>
      <c r="H129" s="213" t="s">
        <v>25</v>
      </c>
      <c r="I129" s="214">
        <v>0.15</v>
      </c>
      <c r="J129" s="215" t="e">
        <f>+IF($K$129&gt;0,+ROUND($K$129*I129,0),"")</f>
        <v>#VALUE!</v>
      </c>
      <c r="K129" s="345" t="str">
        <f>+IFERROR(IF(OR($G$18=0,LEN($G$18)=0),"",IF(AND(M50="ok",(H50/H50)=1),N50,"")),"¿?")</f>
        <v/>
      </c>
      <c r="L129" s="202"/>
    </row>
    <row r="130" spans="1:12" ht="15.75" thickBot="1" x14ac:dyDescent="0.3">
      <c r="A130" s="147" t="str">
        <f>+'Anx I pg 1 oferta'!$B$18&amp;"T3_L06_inst_"&amp;B129&amp;"DA2"</f>
        <v>T3_L06_inst_L06-11DA2</v>
      </c>
      <c r="B130" s="349"/>
      <c r="C130" s="352"/>
      <c r="D130" s="355"/>
      <c r="E130" s="358"/>
      <c r="F130" s="361"/>
      <c r="G130" s="343"/>
      <c r="H130" s="213" t="s">
        <v>26</v>
      </c>
      <c r="I130" s="214">
        <v>0.1</v>
      </c>
      <c r="J130" s="215" t="e">
        <f t="shared" ref="J130:J132" si="10">+IF($K$129&gt;0,+ROUND($K$129*I130,0),"")</f>
        <v>#VALUE!</v>
      </c>
      <c r="K130" s="346"/>
      <c r="L130" s="202"/>
    </row>
    <row r="131" spans="1:12" ht="15.75" thickBot="1" x14ac:dyDescent="0.3">
      <c r="A131" s="147" t="str">
        <f>+'Anx I pg 1 oferta'!$B$18&amp;"T3_L06_inst_"&amp;B129&amp;"DA3"</f>
        <v>T3_L06_inst_L06-11DA3</v>
      </c>
      <c r="B131" s="349"/>
      <c r="C131" s="352"/>
      <c r="D131" s="355"/>
      <c r="E131" s="358"/>
      <c r="F131" s="361"/>
      <c r="G131" s="343"/>
      <c r="H131" s="213" t="s">
        <v>27</v>
      </c>
      <c r="I131" s="214">
        <v>0.2</v>
      </c>
      <c r="J131" s="215" t="e">
        <f t="shared" si="10"/>
        <v>#VALUE!</v>
      </c>
      <c r="K131" s="346"/>
      <c r="L131" s="202"/>
    </row>
    <row r="132" spans="1:12" ht="15.75" thickBot="1" x14ac:dyDescent="0.3">
      <c r="A132" s="147" t="str">
        <f>+'Anx I pg 1 oferta'!$B$18&amp;"T3_L06_inst_"&amp;B129&amp;"DA4"</f>
        <v>T3_L06_inst_L06-11DA4</v>
      </c>
      <c r="B132" s="349"/>
      <c r="C132" s="352"/>
      <c r="D132" s="355"/>
      <c r="E132" s="358"/>
      <c r="F132" s="361"/>
      <c r="G132" s="343"/>
      <c r="H132" s="213" t="s">
        <v>57</v>
      </c>
      <c r="I132" s="214">
        <v>0.05</v>
      </c>
      <c r="J132" s="215" t="e">
        <f t="shared" si="10"/>
        <v>#VALUE!</v>
      </c>
      <c r="K132" s="346"/>
      <c r="L132" s="202"/>
    </row>
    <row r="133" spans="1:12" ht="15.75" thickBot="1" x14ac:dyDescent="0.3">
      <c r="A133" s="147" t="str">
        <f>+'Anx I pg 1 oferta'!$B$18&amp;"T3_L06_inst_"&amp;B129&amp;"DA5"</f>
        <v>T3_L06_inst_L06-11DA5</v>
      </c>
      <c r="B133" s="350"/>
      <c r="C133" s="353"/>
      <c r="D133" s="356"/>
      <c r="E133" s="359"/>
      <c r="F133" s="362"/>
      <c r="G133" s="344"/>
      <c r="H133" s="213" t="s">
        <v>364</v>
      </c>
      <c r="I133" s="214">
        <v>0.5</v>
      </c>
      <c r="J133" s="215" t="e">
        <f>+IF($K$129&gt;0,+$K$129-SUM(J129:J132),"")</f>
        <v>#VALUE!</v>
      </c>
      <c r="K133" s="347"/>
      <c r="L133" s="202"/>
    </row>
    <row r="134" spans="1:12" ht="15.75" customHeight="1" thickBot="1" x14ac:dyDescent="0.3">
      <c r="A134" s="147" t="str">
        <f>+'Anx I pg 1 oferta'!$B$18&amp;"T3_L06_inst_"&amp;B134&amp;"DA1"</f>
        <v>T3_L06_inst_L06-12DA1</v>
      </c>
      <c r="B134" s="348" t="s">
        <v>266</v>
      </c>
      <c r="C134" s="351" t="str">
        <f>+VLOOKUP(B134,'DATOS CENTROS'!B:E,2,FALSE)</f>
        <v>Paseo  Gran Capitán 8, 2-10 (local 4), plta. Baja  37006</v>
      </c>
      <c r="D134" s="354" t="str">
        <f>+VLOOKUP(B134,'DATOS CENTROS'!B:E,3,FALSE)</f>
        <v>C</v>
      </c>
      <c r="E134" s="357" t="str">
        <f>+VLOOKUP(B134,'DATOS CENTROS'!B:E,4,FALSE)</f>
        <v>U.I. RTVE Salamanca</v>
      </c>
      <c r="F134" s="360">
        <f>+VLOOKUP(B134,'DATOS CENTROS'!B:F,5,FALSE)</f>
        <v>2.1000000000000001E-2</v>
      </c>
      <c r="G134" s="342" t="str">
        <f>+IF(G52&gt;0,G52,"")</f>
        <v/>
      </c>
      <c r="H134" s="213" t="s">
        <v>25</v>
      </c>
      <c r="I134" s="214">
        <v>0.15</v>
      </c>
      <c r="J134" s="215" t="e">
        <f>+IF($K$134&gt;0,+ROUND($K$134*I134,0),"")</f>
        <v>#VALUE!</v>
      </c>
      <c r="K134" s="345" t="str">
        <f>+IFERROR(IF(OR($G$18=0,LEN($G$18)=0),"",IF(AND(M52="ok",(H52/H52)=1),N52,"")),"¿?")</f>
        <v/>
      </c>
      <c r="L134" s="202"/>
    </row>
    <row r="135" spans="1:12" ht="15.75" thickBot="1" x14ac:dyDescent="0.3">
      <c r="A135" s="147" t="str">
        <f>+'Anx I pg 1 oferta'!$B$18&amp;"T3_L06_inst_"&amp;B134&amp;"DA2"</f>
        <v>T3_L06_inst_L06-12DA2</v>
      </c>
      <c r="B135" s="349"/>
      <c r="C135" s="352"/>
      <c r="D135" s="355"/>
      <c r="E135" s="358"/>
      <c r="F135" s="361"/>
      <c r="G135" s="343"/>
      <c r="H135" s="213" t="s">
        <v>26</v>
      </c>
      <c r="I135" s="214">
        <v>0.1</v>
      </c>
      <c r="J135" s="215" t="e">
        <f t="shared" ref="J135:J137" si="11">+IF($K$134&gt;0,+ROUND($K$134*I135,0),"")</f>
        <v>#VALUE!</v>
      </c>
      <c r="K135" s="346"/>
      <c r="L135" s="202"/>
    </row>
    <row r="136" spans="1:12" ht="15.75" thickBot="1" x14ac:dyDescent="0.3">
      <c r="A136" s="147" t="str">
        <f>+'Anx I pg 1 oferta'!$B$18&amp;"T3_L06_inst_"&amp;B134&amp;"DA3"</f>
        <v>T3_L06_inst_L06-12DA3</v>
      </c>
      <c r="B136" s="349"/>
      <c r="C136" s="352"/>
      <c r="D136" s="355"/>
      <c r="E136" s="358"/>
      <c r="F136" s="361"/>
      <c r="G136" s="343"/>
      <c r="H136" s="213" t="s">
        <v>27</v>
      </c>
      <c r="I136" s="214">
        <v>0.2</v>
      </c>
      <c r="J136" s="215" t="e">
        <f t="shared" si="11"/>
        <v>#VALUE!</v>
      </c>
      <c r="K136" s="346"/>
      <c r="L136" s="202"/>
    </row>
    <row r="137" spans="1:12" ht="15.75" thickBot="1" x14ac:dyDescent="0.3">
      <c r="A137" s="147" t="str">
        <f>+'Anx I pg 1 oferta'!$B$18&amp;"T3_L06_inst_"&amp;B134&amp;"DA4"</f>
        <v>T3_L06_inst_L06-12DA4</v>
      </c>
      <c r="B137" s="349"/>
      <c r="C137" s="352"/>
      <c r="D137" s="355"/>
      <c r="E137" s="358"/>
      <c r="F137" s="361"/>
      <c r="G137" s="343"/>
      <c r="H137" s="213" t="s">
        <v>57</v>
      </c>
      <c r="I137" s="214">
        <v>0.05</v>
      </c>
      <c r="J137" s="215" t="e">
        <f t="shared" si="11"/>
        <v>#VALUE!</v>
      </c>
      <c r="K137" s="346"/>
      <c r="L137" s="202"/>
    </row>
    <row r="138" spans="1:12" ht="15.75" thickBot="1" x14ac:dyDescent="0.3">
      <c r="A138" s="147" t="str">
        <f>+'Anx I pg 1 oferta'!$B$18&amp;"T3_L06_inst_"&amp;B134&amp;"DA5"</f>
        <v>T3_L06_inst_L06-12DA5</v>
      </c>
      <c r="B138" s="350"/>
      <c r="C138" s="353"/>
      <c r="D138" s="356"/>
      <c r="E138" s="359"/>
      <c r="F138" s="362"/>
      <c r="G138" s="344"/>
      <c r="H138" s="213" t="s">
        <v>364</v>
      </c>
      <c r="I138" s="214">
        <v>0.5</v>
      </c>
      <c r="J138" s="215" t="e">
        <f>+IF($K$134&gt;0,+$K$134-SUM(J134:J137),"")</f>
        <v>#VALUE!</v>
      </c>
      <c r="K138" s="347"/>
      <c r="L138" s="202"/>
    </row>
    <row r="139" spans="1:12" ht="15.75" thickBot="1" x14ac:dyDescent="0.3">
      <c r="A139" s="147" t="str">
        <f>+'Anx I pg 1 oferta'!$B$18&amp;"T3_L06_inst_"&amp;B139&amp;"DA1"</f>
        <v>T3_L06_inst_L06-13DA1</v>
      </c>
      <c r="B139" s="348" t="s">
        <v>268</v>
      </c>
      <c r="C139" s="351" t="str">
        <f>+VLOOKUP(B139,'DATOS CENTROS'!B:E,2,FALSE)</f>
        <v>Paseo  Hospital Militar 29 Plta. Baja (antes García Morato)   47007</v>
      </c>
      <c r="D139" s="354" t="str">
        <f>+VLOOKUP(B139,'DATOS CENTROS'!B:E,3,FALSE)</f>
        <v>C</v>
      </c>
      <c r="E139" s="357" t="str">
        <f>+VLOOKUP(B139,'DATOS CENTROS'!B:E,4,FALSE)</f>
        <v>C.T. RNE Castilla y León</v>
      </c>
      <c r="F139" s="360">
        <f>+VLOOKUP(B139,'DATOS CENTROS'!B:F,5,FALSE)</f>
        <v>2.5000000000000001E-2</v>
      </c>
      <c r="G139" s="342" t="str">
        <f>+IF(G54&gt;0,G54,"")</f>
        <v/>
      </c>
      <c r="H139" s="213" t="s">
        <v>25</v>
      </c>
      <c r="I139" s="214">
        <v>0.15</v>
      </c>
      <c r="J139" s="215" t="e">
        <f>+IF($K$139&gt;0,+ROUND($K$139*I139,0),"")</f>
        <v>#VALUE!</v>
      </c>
      <c r="K139" s="345" t="str">
        <f>+IFERROR(IF(OR($G$18=0,LEN($G$18)=0),"",IF(AND(M54="ok",(H54/H54)=1),N54,"")),"¿?")</f>
        <v/>
      </c>
      <c r="L139" s="202"/>
    </row>
    <row r="140" spans="1:12" ht="15.75" thickBot="1" x14ac:dyDescent="0.3">
      <c r="A140" s="147" t="str">
        <f>+'Anx I pg 1 oferta'!$B$18&amp;"T3_L06_inst_"&amp;B139&amp;"DA2"</f>
        <v>T3_L06_inst_L06-13DA2</v>
      </c>
      <c r="B140" s="349"/>
      <c r="C140" s="352"/>
      <c r="D140" s="355"/>
      <c r="E140" s="358"/>
      <c r="F140" s="361"/>
      <c r="G140" s="343"/>
      <c r="H140" s="213" t="s">
        <v>26</v>
      </c>
      <c r="I140" s="214">
        <v>0.1</v>
      </c>
      <c r="J140" s="215" t="e">
        <f t="shared" ref="J140:J142" si="12">+IF($K$139&gt;0,+ROUND($K$139*I140,0),"")</f>
        <v>#VALUE!</v>
      </c>
      <c r="K140" s="346"/>
      <c r="L140" s="202"/>
    </row>
    <row r="141" spans="1:12" ht="15.75" thickBot="1" x14ac:dyDescent="0.3">
      <c r="A141" s="147" t="str">
        <f>+'Anx I pg 1 oferta'!$B$18&amp;"T3_L06_inst_"&amp;B139&amp;"DA3"</f>
        <v>T3_L06_inst_L06-13DA3</v>
      </c>
      <c r="B141" s="349"/>
      <c r="C141" s="352"/>
      <c r="D141" s="355"/>
      <c r="E141" s="358"/>
      <c r="F141" s="361"/>
      <c r="G141" s="343"/>
      <c r="H141" s="213" t="s">
        <v>27</v>
      </c>
      <c r="I141" s="214">
        <v>0.2</v>
      </c>
      <c r="J141" s="215" t="e">
        <f t="shared" si="12"/>
        <v>#VALUE!</v>
      </c>
      <c r="K141" s="346"/>
      <c r="L141" s="202"/>
    </row>
    <row r="142" spans="1:12" ht="15.75" thickBot="1" x14ac:dyDescent="0.3">
      <c r="A142" s="147" t="str">
        <f>+'Anx I pg 1 oferta'!$B$18&amp;"T3_L06_inst_"&amp;B139&amp;"DA4"</f>
        <v>T3_L06_inst_L06-13DA4</v>
      </c>
      <c r="B142" s="349"/>
      <c r="C142" s="352"/>
      <c r="D142" s="355"/>
      <c r="E142" s="358"/>
      <c r="F142" s="361"/>
      <c r="G142" s="343"/>
      <c r="H142" s="213" t="s">
        <v>57</v>
      </c>
      <c r="I142" s="214">
        <v>0.05</v>
      </c>
      <c r="J142" s="215" t="e">
        <f t="shared" si="12"/>
        <v>#VALUE!</v>
      </c>
      <c r="K142" s="346"/>
      <c r="L142" s="202"/>
    </row>
    <row r="143" spans="1:12" ht="15.75" thickBot="1" x14ac:dyDescent="0.3">
      <c r="A143" s="147" t="str">
        <f>+'Anx I pg 1 oferta'!$B$18&amp;"T3_L06_inst_"&amp;B139&amp;"DA5"</f>
        <v>T3_L06_inst_L06-13DA5</v>
      </c>
      <c r="B143" s="350"/>
      <c r="C143" s="353"/>
      <c r="D143" s="356"/>
      <c r="E143" s="359"/>
      <c r="F143" s="362"/>
      <c r="G143" s="344"/>
      <c r="H143" s="213" t="s">
        <v>364</v>
      </c>
      <c r="I143" s="214">
        <v>0.5</v>
      </c>
      <c r="J143" s="215" t="e">
        <f>+IF($K$139&gt;0,+$K$139-SUM(J139:J142),"")</f>
        <v>#VALUE!</v>
      </c>
      <c r="K143" s="347"/>
      <c r="L143" s="202"/>
    </row>
    <row r="144" spans="1:12" ht="15.75" thickBot="1" x14ac:dyDescent="0.3">
      <c r="A144" s="147" t="str">
        <f>+'Anx I pg 1 oferta'!$B$18&amp;"T3_L06_inst_"&amp;B144&amp;"DA1"</f>
        <v>T3_L06_inst_L06-14DA1</v>
      </c>
      <c r="B144" s="348" t="s">
        <v>270</v>
      </c>
      <c r="C144" s="351" t="str">
        <f>+VLOOKUP(B144,'DATOS CENTROS'!B:E,2,FALSE)</f>
        <v>Avenida  Requejo 21 2ª Planta  49012</v>
      </c>
      <c r="D144" s="354" t="str">
        <f>+VLOOKUP(B144,'DATOS CENTROS'!B:E,3,FALSE)</f>
        <v>C</v>
      </c>
      <c r="E144" s="357" t="str">
        <f>+VLOOKUP(B144,'DATOS CENTROS'!B:E,4,FALSE)</f>
        <v>U.I. RTVE Zamora</v>
      </c>
      <c r="F144" s="360">
        <f>+VLOOKUP(B144,'DATOS CENTROS'!B:F,5,FALSE)</f>
        <v>1.7999999999999999E-2</v>
      </c>
      <c r="G144" s="342" t="str">
        <f>+IF(G56&gt;0,G56,"")</f>
        <v/>
      </c>
      <c r="H144" s="213" t="s">
        <v>25</v>
      </c>
      <c r="I144" s="214">
        <v>0.15</v>
      </c>
      <c r="J144" s="215" t="e">
        <f>+IF($K$144&gt;0,+ROUND($K$144*I144,0),"")</f>
        <v>#VALUE!</v>
      </c>
      <c r="K144" s="345" t="str">
        <f>+IFERROR(IF(OR($G$18=0,LEN($G$18)=0),"",IF(AND(M56="ok",(H56/H56)=1),N56,"")),"¿?")</f>
        <v/>
      </c>
      <c r="L144" s="202"/>
    </row>
    <row r="145" spans="1:12" ht="15.75" thickBot="1" x14ac:dyDescent="0.3">
      <c r="A145" s="147" t="str">
        <f>+'Anx I pg 1 oferta'!$B$18&amp;"T3_L06_inst_"&amp;B144&amp;"DA2"</f>
        <v>T3_L06_inst_L06-14DA2</v>
      </c>
      <c r="B145" s="349"/>
      <c r="C145" s="352"/>
      <c r="D145" s="355"/>
      <c r="E145" s="358"/>
      <c r="F145" s="361"/>
      <c r="G145" s="343"/>
      <c r="H145" s="213" t="s">
        <v>26</v>
      </c>
      <c r="I145" s="214">
        <v>0.1</v>
      </c>
      <c r="J145" s="215" t="e">
        <f t="shared" ref="J145:J147" si="13">+IF($K$144&gt;0,+ROUND($K$144*I145,0),"")</f>
        <v>#VALUE!</v>
      </c>
      <c r="K145" s="346"/>
      <c r="L145" s="202"/>
    </row>
    <row r="146" spans="1:12" ht="15.75" thickBot="1" x14ac:dyDescent="0.3">
      <c r="A146" s="147" t="str">
        <f>+'Anx I pg 1 oferta'!$B$18&amp;"T3_L06_inst_"&amp;B144&amp;"DA3"</f>
        <v>T3_L06_inst_L06-14DA3</v>
      </c>
      <c r="B146" s="349"/>
      <c r="C146" s="352"/>
      <c r="D146" s="355"/>
      <c r="E146" s="358"/>
      <c r="F146" s="361"/>
      <c r="G146" s="343"/>
      <c r="H146" s="213" t="s">
        <v>27</v>
      </c>
      <c r="I146" s="214">
        <v>0.2</v>
      </c>
      <c r="J146" s="215" t="e">
        <f t="shared" si="13"/>
        <v>#VALUE!</v>
      </c>
      <c r="K146" s="346"/>
      <c r="L146" s="202"/>
    </row>
    <row r="147" spans="1:12" ht="15.75" thickBot="1" x14ac:dyDescent="0.3">
      <c r="A147" s="147" t="str">
        <f>+'Anx I pg 1 oferta'!$B$18&amp;"T3_L06_inst_"&amp;B144&amp;"DA4"</f>
        <v>T3_L06_inst_L06-14DA4</v>
      </c>
      <c r="B147" s="349"/>
      <c r="C147" s="352"/>
      <c r="D147" s="355"/>
      <c r="E147" s="358"/>
      <c r="F147" s="361"/>
      <c r="G147" s="343"/>
      <c r="H147" s="213" t="s">
        <v>57</v>
      </c>
      <c r="I147" s="214">
        <v>0.05</v>
      </c>
      <c r="J147" s="215" t="e">
        <f t="shared" si="13"/>
        <v>#VALUE!</v>
      </c>
      <c r="K147" s="346"/>
      <c r="L147" s="202"/>
    </row>
    <row r="148" spans="1:12" ht="15.75" thickBot="1" x14ac:dyDescent="0.3">
      <c r="A148" s="147" t="str">
        <f>+'Anx I pg 1 oferta'!$B$18&amp;"T3_L06_inst_"&amp;B144&amp;"DA5"</f>
        <v>T3_L06_inst_L06-14DA5</v>
      </c>
      <c r="B148" s="350"/>
      <c r="C148" s="353"/>
      <c r="D148" s="356"/>
      <c r="E148" s="359"/>
      <c r="F148" s="362"/>
      <c r="G148" s="344"/>
      <c r="H148" s="213" t="s">
        <v>364</v>
      </c>
      <c r="I148" s="214">
        <v>0.5</v>
      </c>
      <c r="J148" s="215" t="e">
        <f>+IF($K$144&gt;0,+$K$144-SUM(J144:J147),"")</f>
        <v>#VALUE!</v>
      </c>
      <c r="K148" s="347"/>
      <c r="L148" s="202"/>
    </row>
    <row r="149" spans="1:12" ht="15.75" thickBot="1" x14ac:dyDescent="0.3">
      <c r="A149" s="147" t="str">
        <f>+'Anx I pg 1 oferta'!$B$18&amp;"T3_L06_cab3(CA)"</f>
        <v>T3_L06_cab3(CA)</v>
      </c>
      <c r="B149" s="209" t="s">
        <v>390</v>
      </c>
      <c r="C149" s="210" t="s">
        <v>272</v>
      </c>
      <c r="D149" s="211"/>
      <c r="E149" s="211"/>
      <c r="F149" s="211"/>
      <c r="G149" s="211"/>
      <c r="H149" s="211"/>
      <c r="I149" s="211"/>
      <c r="J149" s="211"/>
      <c r="K149" s="216"/>
      <c r="L149" s="202"/>
    </row>
    <row r="150" spans="1:12" ht="15.75" thickBot="1" x14ac:dyDescent="0.3">
      <c r="A150" s="147" t="str">
        <f>+'Anx I pg 1 oferta'!$B$18&amp;"T3_L06_inst_"&amp;B150&amp;"DA1"</f>
        <v>T3_L06_inst_L06-15DA1</v>
      </c>
      <c r="B150" s="348" t="s">
        <v>273</v>
      </c>
      <c r="C150" s="351" t="str">
        <f>+VLOOKUP(B150,'DATOS CENTROS'!B:E,2,FALSE)</f>
        <v>Naranco</v>
      </c>
      <c r="D150" s="354" t="str">
        <f>+VLOOKUP(B150,'DATOS CENTROS'!B:E,3,FALSE)</f>
        <v xml:space="preserve"> A + C</v>
      </c>
      <c r="E150" s="357" t="str">
        <f>+VLOOKUP(B150,'DATOS CENTROS'!B:E,4,FALSE)</f>
        <v>C.E. FM y OM NARANCO</v>
      </c>
      <c r="F150" s="360">
        <f>+VLOOKUP(B150,'DATOS CENTROS'!B:F,5,FALSE)</f>
        <v>9.5000000000000001E-2</v>
      </c>
      <c r="G150" s="342" t="str">
        <f>+IF(G59&gt;0,G59,"")</f>
        <v/>
      </c>
      <c r="H150" s="213" t="s">
        <v>25</v>
      </c>
      <c r="I150" s="214">
        <v>0.15</v>
      </c>
      <c r="J150" s="215" t="e">
        <f>+IF($K$150&gt;0,+ROUND($K$150*I150,0),"")</f>
        <v>#VALUE!</v>
      </c>
      <c r="K150" s="345" t="str">
        <f>+IFERROR(IF(OR($G$18=0,LEN($G$18)=0),"",IF(AND(M59="ok",(H59/H59)=1),N59,"")),"¿?")</f>
        <v/>
      </c>
      <c r="L150" s="202"/>
    </row>
    <row r="151" spans="1:12" ht="15.75" thickBot="1" x14ac:dyDescent="0.3">
      <c r="A151" s="147" t="str">
        <f>+'Anx I pg 1 oferta'!$B$18&amp;"T3_L06_inst_"&amp;B150&amp;"DA2"</f>
        <v>T3_L06_inst_L06-15DA2</v>
      </c>
      <c r="B151" s="349"/>
      <c r="C151" s="352"/>
      <c r="D151" s="355"/>
      <c r="E151" s="358"/>
      <c r="F151" s="361"/>
      <c r="G151" s="343"/>
      <c r="H151" s="213" t="s">
        <v>26</v>
      </c>
      <c r="I151" s="214">
        <v>0.1</v>
      </c>
      <c r="J151" s="215" t="e">
        <f t="shared" ref="J151:J153" si="14">+IF($K$150&gt;0,+ROUND($K$150*I151,0),"")</f>
        <v>#VALUE!</v>
      </c>
      <c r="K151" s="346"/>
      <c r="L151" s="202"/>
    </row>
    <row r="152" spans="1:12" ht="15.75" thickBot="1" x14ac:dyDescent="0.3">
      <c r="A152" s="147" t="str">
        <f>+'Anx I pg 1 oferta'!$B$18&amp;"T3_L06_inst_"&amp;B150&amp;"DA3"</f>
        <v>T3_L06_inst_L06-15DA3</v>
      </c>
      <c r="B152" s="349"/>
      <c r="C152" s="352"/>
      <c r="D152" s="355"/>
      <c r="E152" s="358"/>
      <c r="F152" s="361"/>
      <c r="G152" s="343"/>
      <c r="H152" s="213" t="s">
        <v>27</v>
      </c>
      <c r="I152" s="214">
        <v>0.2</v>
      </c>
      <c r="J152" s="215" t="e">
        <f t="shared" si="14"/>
        <v>#VALUE!</v>
      </c>
      <c r="K152" s="346"/>
      <c r="L152" s="202"/>
    </row>
    <row r="153" spans="1:12" ht="15.75" thickBot="1" x14ac:dyDescent="0.3">
      <c r="A153" s="147" t="str">
        <f>+'Anx I pg 1 oferta'!$B$18&amp;"T3_L06_inst_"&amp;B150&amp;"DA4"</f>
        <v>T3_L06_inst_L06-15DA4</v>
      </c>
      <c r="B153" s="349"/>
      <c r="C153" s="352"/>
      <c r="D153" s="355"/>
      <c r="E153" s="358"/>
      <c r="F153" s="361"/>
      <c r="G153" s="343"/>
      <c r="H153" s="213" t="s">
        <v>57</v>
      </c>
      <c r="I153" s="214">
        <v>0.05</v>
      </c>
      <c r="J153" s="215" t="e">
        <f t="shared" si="14"/>
        <v>#VALUE!</v>
      </c>
      <c r="K153" s="346"/>
      <c r="L153" s="202"/>
    </row>
    <row r="154" spans="1:12" ht="15.75" thickBot="1" x14ac:dyDescent="0.3">
      <c r="A154" s="147" t="str">
        <f>+'Anx I pg 1 oferta'!$B$18&amp;"T3_L06_inst_"&amp;B150&amp;"DA5"</f>
        <v>T3_L06_inst_L06-15DA5</v>
      </c>
      <c r="B154" s="350"/>
      <c r="C154" s="353"/>
      <c r="D154" s="356"/>
      <c r="E154" s="359"/>
      <c r="F154" s="362"/>
      <c r="G154" s="344"/>
      <c r="H154" s="213" t="s">
        <v>364</v>
      </c>
      <c r="I154" s="214">
        <v>0.5</v>
      </c>
      <c r="J154" s="215" t="e">
        <f>+IF($K$150&gt;0,+$K$150-SUM(J150:J153),"")</f>
        <v>#VALUE!</v>
      </c>
      <c r="K154" s="347"/>
      <c r="L154" s="202"/>
    </row>
    <row r="155" spans="1:12" ht="15.75" thickBot="1" x14ac:dyDescent="0.3">
      <c r="A155" s="147" t="str">
        <f>+'Anx I pg 1 oferta'!$B$18&amp;"T3_L06_inst_"&amp;B155&amp;"DA1"</f>
        <v>T3_L06_inst_L06-16DA1</v>
      </c>
      <c r="B155" s="348" t="s">
        <v>275</v>
      </c>
      <c r="C155" s="351" t="str">
        <f>+VLOOKUP(B155,'DATOS CENTROS'!B:E,2,FALSE)</f>
        <v>S. Esteban de las Cruces, Km. 4</v>
      </c>
      <c r="D155" s="354" t="str">
        <f>+VLOOKUP(B155,'DATOS CENTROS'!B:E,3,FALSE)</f>
        <v xml:space="preserve"> A + C</v>
      </c>
      <c r="E155" s="357" t="str">
        <f>+VLOOKUP(B155,'DATOS CENTROS'!B:E,4,FALSE)</f>
        <v>C.T. RTVE Asturias</v>
      </c>
      <c r="F155" s="360">
        <f>+VLOOKUP(B155,'DATOS CENTROS'!B:F,5,FALSE)</f>
        <v>0.16500000000000001</v>
      </c>
      <c r="G155" s="342" t="str">
        <f>+IF(G61&gt;0,G61,"")</f>
        <v/>
      </c>
      <c r="H155" s="213" t="s">
        <v>25</v>
      </c>
      <c r="I155" s="214">
        <v>0.15</v>
      </c>
      <c r="J155" s="215" t="e">
        <f>+IF($K$155&gt;0,+ROUND($K$155*I155,0),"")</f>
        <v>#VALUE!</v>
      </c>
      <c r="K155" s="345" t="str">
        <f>+IFERROR(IF(OR($G$18=0,LEN($G$18)=0),"",IF(AND(M61="ok",(H61/H61)=1),N61,"")),"¿?")</f>
        <v/>
      </c>
      <c r="L155" s="202"/>
    </row>
    <row r="156" spans="1:12" ht="15.75" thickBot="1" x14ac:dyDescent="0.3">
      <c r="A156" s="147" t="str">
        <f>+'Anx I pg 1 oferta'!$B$18&amp;"T3_L06_inst_"&amp;B155&amp;"DA2"</f>
        <v>T3_L06_inst_L06-16DA2</v>
      </c>
      <c r="B156" s="349"/>
      <c r="C156" s="352"/>
      <c r="D156" s="355"/>
      <c r="E156" s="358"/>
      <c r="F156" s="361"/>
      <c r="G156" s="343"/>
      <c r="H156" s="213" t="s">
        <v>26</v>
      </c>
      <c r="I156" s="214">
        <v>0.1</v>
      </c>
      <c r="J156" s="215" t="e">
        <f t="shared" ref="J156:J158" si="15">+IF($K$155&gt;0,+ROUND($K$155*I156,0),"")</f>
        <v>#VALUE!</v>
      </c>
      <c r="K156" s="346"/>
      <c r="L156" s="202"/>
    </row>
    <row r="157" spans="1:12" ht="15.75" thickBot="1" x14ac:dyDescent="0.3">
      <c r="A157" s="147" t="str">
        <f>+'Anx I pg 1 oferta'!$B$18&amp;"T3_L06_inst_"&amp;B155&amp;"DA3"</f>
        <v>T3_L06_inst_L06-16DA3</v>
      </c>
      <c r="B157" s="349"/>
      <c r="C157" s="352"/>
      <c r="D157" s="355"/>
      <c r="E157" s="358"/>
      <c r="F157" s="361"/>
      <c r="G157" s="343"/>
      <c r="H157" s="213" t="s">
        <v>27</v>
      </c>
      <c r="I157" s="214">
        <v>0.2</v>
      </c>
      <c r="J157" s="215" t="e">
        <f t="shared" si="15"/>
        <v>#VALUE!</v>
      </c>
      <c r="K157" s="346"/>
      <c r="L157" s="202"/>
    </row>
    <row r="158" spans="1:12" ht="15.75" thickBot="1" x14ac:dyDescent="0.3">
      <c r="A158" s="147" t="str">
        <f>+'Anx I pg 1 oferta'!$B$18&amp;"T3_L06_inst_"&amp;B155&amp;"DA4"</f>
        <v>T3_L06_inst_L06-16DA4</v>
      </c>
      <c r="B158" s="349"/>
      <c r="C158" s="352"/>
      <c r="D158" s="355"/>
      <c r="E158" s="358"/>
      <c r="F158" s="361"/>
      <c r="G158" s="343"/>
      <c r="H158" s="213" t="s">
        <v>57</v>
      </c>
      <c r="I158" s="214">
        <v>0.05</v>
      </c>
      <c r="J158" s="215" t="e">
        <f t="shared" si="15"/>
        <v>#VALUE!</v>
      </c>
      <c r="K158" s="346"/>
      <c r="L158" s="202"/>
    </row>
    <row r="159" spans="1:12" ht="15.75" thickBot="1" x14ac:dyDescent="0.3">
      <c r="A159" s="147" t="str">
        <f>+'Anx I pg 1 oferta'!$B$18&amp;"T3_L06_inst_"&amp;B155&amp;"DA5"</f>
        <v>T3_L06_inst_L06-16DA5</v>
      </c>
      <c r="B159" s="350"/>
      <c r="C159" s="353"/>
      <c r="D159" s="356"/>
      <c r="E159" s="359"/>
      <c r="F159" s="362"/>
      <c r="G159" s="344"/>
      <c r="H159" s="213" t="s">
        <v>364</v>
      </c>
      <c r="I159" s="214">
        <v>0.5</v>
      </c>
      <c r="J159" s="215" t="e">
        <f>+IF($K$155&gt;0,+$K$155-SUM(J155:J158),"")</f>
        <v>#VALUE!</v>
      </c>
      <c r="K159" s="347"/>
      <c r="L159" s="202"/>
    </row>
    <row r="160" spans="1:12" ht="15.75" hidden="1" customHeight="1" thickBot="1" x14ac:dyDescent="0.3">
      <c r="A160" s="147" t="s">
        <v>544</v>
      </c>
      <c r="B160" s="348"/>
      <c r="C160" s="351"/>
      <c r="D160" s="354"/>
      <c r="E160" s="357"/>
      <c r="F160" s="360"/>
      <c r="G160" s="342"/>
      <c r="H160" s="213"/>
      <c r="I160" s="214"/>
      <c r="J160" s="215"/>
      <c r="K160" s="345"/>
      <c r="L160" s="202"/>
    </row>
    <row r="161" spans="1:12" ht="15.75" hidden="1" thickBot="1" x14ac:dyDescent="0.3">
      <c r="A161" s="147" t="s">
        <v>544</v>
      </c>
      <c r="B161" s="349"/>
      <c r="C161" s="352"/>
      <c r="D161" s="355"/>
      <c r="E161" s="358"/>
      <c r="F161" s="361"/>
      <c r="G161" s="343"/>
      <c r="H161" s="213"/>
      <c r="I161" s="214"/>
      <c r="J161" s="215"/>
      <c r="K161" s="346"/>
      <c r="L161" s="202"/>
    </row>
    <row r="162" spans="1:12" ht="15.75" hidden="1" thickBot="1" x14ac:dyDescent="0.3">
      <c r="A162" s="147" t="s">
        <v>544</v>
      </c>
      <c r="B162" s="349"/>
      <c r="C162" s="352"/>
      <c r="D162" s="355"/>
      <c r="E162" s="358"/>
      <c r="F162" s="361"/>
      <c r="G162" s="343"/>
      <c r="H162" s="213"/>
      <c r="I162" s="214"/>
      <c r="J162" s="215"/>
      <c r="K162" s="346"/>
      <c r="L162" s="202"/>
    </row>
    <row r="163" spans="1:12" ht="15.75" hidden="1" thickBot="1" x14ac:dyDescent="0.3">
      <c r="A163" s="147" t="s">
        <v>544</v>
      </c>
      <c r="B163" s="349"/>
      <c r="C163" s="352"/>
      <c r="D163" s="355"/>
      <c r="E163" s="358"/>
      <c r="F163" s="361"/>
      <c r="G163" s="343"/>
      <c r="H163" s="213"/>
      <c r="I163" s="214"/>
      <c r="J163" s="215"/>
      <c r="K163" s="346"/>
      <c r="L163" s="202"/>
    </row>
    <row r="164" spans="1:12" ht="15.75" hidden="1" thickBot="1" x14ac:dyDescent="0.3">
      <c r="A164" s="147" t="s">
        <v>544</v>
      </c>
      <c r="B164" s="350"/>
      <c r="C164" s="353"/>
      <c r="D164" s="356"/>
      <c r="E164" s="359"/>
      <c r="F164" s="362"/>
      <c r="G164" s="344"/>
      <c r="H164" s="213"/>
      <c r="I164" s="214"/>
      <c r="J164" s="215"/>
      <c r="K164" s="347"/>
      <c r="L164" s="202"/>
    </row>
    <row r="165" spans="1:12" ht="15.75" hidden="1" thickBot="1" x14ac:dyDescent="0.3">
      <c r="A165" s="147" t="s">
        <v>544</v>
      </c>
      <c r="B165" s="348"/>
      <c r="C165" s="351"/>
      <c r="D165" s="354"/>
      <c r="E165" s="357"/>
      <c r="F165" s="360"/>
      <c r="G165" s="342"/>
      <c r="H165" s="213"/>
      <c r="I165" s="214"/>
      <c r="J165" s="215"/>
      <c r="K165" s="345"/>
      <c r="L165" s="202"/>
    </row>
    <row r="166" spans="1:12" ht="15.75" hidden="1" thickBot="1" x14ac:dyDescent="0.3">
      <c r="A166" s="147" t="s">
        <v>544</v>
      </c>
      <c r="B166" s="349"/>
      <c r="C166" s="352"/>
      <c r="D166" s="355"/>
      <c r="E166" s="358"/>
      <c r="F166" s="361"/>
      <c r="G166" s="343"/>
      <c r="H166" s="213"/>
      <c r="I166" s="214"/>
      <c r="J166" s="215"/>
      <c r="K166" s="346"/>
      <c r="L166" s="202"/>
    </row>
    <row r="167" spans="1:12" ht="15.75" hidden="1" thickBot="1" x14ac:dyDescent="0.3">
      <c r="A167" s="147" t="s">
        <v>544</v>
      </c>
      <c r="B167" s="349"/>
      <c r="C167" s="352"/>
      <c r="D167" s="355"/>
      <c r="E167" s="358"/>
      <c r="F167" s="361"/>
      <c r="G167" s="343"/>
      <c r="H167" s="213"/>
      <c r="I167" s="214"/>
      <c r="J167" s="215"/>
      <c r="K167" s="346"/>
      <c r="L167" s="202"/>
    </row>
    <row r="168" spans="1:12" ht="15.75" hidden="1" thickBot="1" x14ac:dyDescent="0.3">
      <c r="A168" s="147" t="s">
        <v>544</v>
      </c>
      <c r="B168" s="349"/>
      <c r="C168" s="352"/>
      <c r="D168" s="355"/>
      <c r="E168" s="358"/>
      <c r="F168" s="361"/>
      <c r="G168" s="343"/>
      <c r="H168" s="213"/>
      <c r="I168" s="214"/>
      <c r="J168" s="215"/>
      <c r="K168" s="346"/>
      <c r="L168" s="202"/>
    </row>
    <row r="169" spans="1:12" ht="15.75" hidden="1" thickBot="1" x14ac:dyDescent="0.3">
      <c r="A169" s="147" t="s">
        <v>544</v>
      </c>
      <c r="B169" s="350"/>
      <c r="C169" s="353"/>
      <c r="D169" s="356"/>
      <c r="E169" s="359"/>
      <c r="F169" s="362"/>
      <c r="G169" s="344"/>
      <c r="H169" s="213"/>
      <c r="I169" s="214"/>
      <c r="J169" s="215"/>
      <c r="K169" s="347"/>
      <c r="L169" s="202"/>
    </row>
    <row r="170" spans="1:12" x14ac:dyDescent="0.25">
      <c r="A170" s="147" t="str">
        <f>+'Anx I pg 1 oferta'!$B$18&amp;"T3_L06_TOT"</f>
        <v>T3_L06_TOT</v>
      </c>
      <c r="B170" s="278" t="s">
        <v>390</v>
      </c>
      <c r="C170" s="122"/>
      <c r="D170" s="122"/>
      <c r="E170" s="122"/>
      <c r="F170" s="285">
        <f>SUM(F78:F169)</f>
        <v>1.0000000000000002</v>
      </c>
      <c r="G170" s="285">
        <f>SUM(G78:G169)</f>
        <v>0</v>
      </c>
      <c r="H170" s="122"/>
      <c r="I170" s="122"/>
      <c r="J170" s="287" t="e">
        <f>SUM(J78:J169)</f>
        <v>#VALUE!</v>
      </c>
      <c r="K170" s="287">
        <f>SUM(K78:K169)</f>
        <v>0</v>
      </c>
    </row>
    <row r="171" spans="1:12" x14ac:dyDescent="0.25">
      <c r="A171" s="147" t="s">
        <v>544</v>
      </c>
      <c r="B171" s="122" t="s">
        <v>390</v>
      </c>
      <c r="C171" s="122"/>
      <c r="D171" s="122"/>
      <c r="E171" s="122"/>
      <c r="F171" s="122"/>
      <c r="G171" s="122"/>
      <c r="H171" s="122"/>
      <c r="I171" s="122"/>
      <c r="J171" s="122"/>
      <c r="K171" s="122"/>
    </row>
    <row r="172" spans="1:12" x14ac:dyDescent="0.25">
      <c r="A172" s="147" t="s">
        <v>542</v>
      </c>
      <c r="B172" s="122" t="s">
        <v>390</v>
      </c>
      <c r="C172" s="122"/>
      <c r="D172" s="122"/>
      <c r="E172" s="122"/>
      <c r="F172" s="122"/>
      <c r="G172" s="122"/>
      <c r="H172" s="122"/>
      <c r="I172" s="122"/>
      <c r="J172" s="122"/>
      <c r="K172" s="122"/>
    </row>
    <row r="173" spans="1:12" x14ac:dyDescent="0.25">
      <c r="A173" s="122" t="s">
        <v>542</v>
      </c>
      <c r="B173" s="122" t="s">
        <v>390</v>
      </c>
      <c r="C173" s="122"/>
      <c r="D173" s="122"/>
      <c r="E173" s="122"/>
      <c r="F173" s="122"/>
      <c r="G173" s="122"/>
      <c r="H173" s="122"/>
      <c r="I173" s="122" t="s">
        <v>372</v>
      </c>
      <c r="J173" s="284" t="e">
        <f>+J78+J83+J88+J93+J99+J104+J109+J114+J119+J124+J129+J134+J139+J144+J150+J155+J160+J165</f>
        <v>#VALUE!</v>
      </c>
      <c r="K173" s="122"/>
    </row>
    <row r="174" spans="1:12" x14ac:dyDescent="0.25">
      <c r="A174" s="122" t="s">
        <v>542</v>
      </c>
      <c r="B174" s="122" t="s">
        <v>390</v>
      </c>
      <c r="C174" s="122"/>
      <c r="D174" s="122"/>
      <c r="E174" s="122"/>
      <c r="F174" s="122"/>
      <c r="G174" s="122"/>
      <c r="H174" s="122"/>
      <c r="I174" s="122" t="s">
        <v>374</v>
      </c>
      <c r="J174" s="284" t="e">
        <f>+J79+J84+J89+J94+J100+J105+J110+J115+J120+J125+J130+J135+J140+J145+J151+J156+J161+J166</f>
        <v>#VALUE!</v>
      </c>
      <c r="K174" s="122"/>
    </row>
    <row r="175" spans="1:12" x14ac:dyDescent="0.25">
      <c r="A175" s="122" t="s">
        <v>542</v>
      </c>
      <c r="B175" s="122" t="s">
        <v>390</v>
      </c>
      <c r="C175" s="122"/>
      <c r="D175" s="122"/>
      <c r="E175" s="122"/>
      <c r="F175" s="122"/>
      <c r="G175" s="122"/>
      <c r="H175" s="122"/>
      <c r="I175" s="122" t="s">
        <v>373</v>
      </c>
      <c r="J175" s="284" t="e">
        <f>+J80+J85+J90+J95+J101+J106+J111+J116+J121+J126+J131+J136+J141+J146+J152+J157+J162+J167</f>
        <v>#VALUE!</v>
      </c>
      <c r="K175" s="122"/>
    </row>
    <row r="176" spans="1:12" x14ac:dyDescent="0.25">
      <c r="A176" s="122" t="s">
        <v>542</v>
      </c>
      <c r="B176" s="122" t="s">
        <v>390</v>
      </c>
      <c r="C176" s="122"/>
      <c r="D176" s="122"/>
      <c r="E176" s="122"/>
      <c r="F176" s="122"/>
      <c r="G176" s="122"/>
      <c r="H176" s="122"/>
      <c r="I176" s="122" t="s">
        <v>375</v>
      </c>
      <c r="J176" s="284" t="e">
        <f>+J81+J86+J91+J96+J102+J107+J112+J117+J122+J127+J132+J137+J142+J147+J153+J158+J163+J168</f>
        <v>#VALUE!</v>
      </c>
      <c r="K176" s="122"/>
    </row>
    <row r="177" spans="1:11" x14ac:dyDescent="0.25">
      <c r="A177" s="122" t="s">
        <v>542</v>
      </c>
      <c r="B177" s="122" t="s">
        <v>390</v>
      </c>
      <c r="C177" s="122"/>
      <c r="D177" s="122"/>
      <c r="E177" s="122"/>
      <c r="F177" s="122"/>
      <c r="G177" s="122"/>
      <c r="H177" s="122"/>
      <c r="I177" s="122" t="s">
        <v>376</v>
      </c>
      <c r="J177" s="284" t="e">
        <f>+J82+J87+J92+J97+J103+J108+J113+J118+J123+J128+J133+J138+J143+J148+J154+J159+J164+J169</f>
        <v>#VALUE!</v>
      </c>
      <c r="K177" s="122"/>
    </row>
    <row r="178" spans="1:11" x14ac:dyDescent="0.25">
      <c r="A178" s="122" t="s">
        <v>542</v>
      </c>
      <c r="B178" s="122" t="s">
        <v>390</v>
      </c>
      <c r="C178" s="122"/>
      <c r="D178" s="122"/>
      <c r="E178" s="122"/>
      <c r="F178" s="122"/>
      <c r="G178" s="122"/>
      <c r="H178" s="122"/>
      <c r="I178" s="122" t="s">
        <v>371</v>
      </c>
      <c r="J178" s="284" t="e">
        <f>SUM(J173:J177)</f>
        <v>#VALUE!</v>
      </c>
      <c r="K178" s="122"/>
    </row>
  </sheetData>
  <sheetProtection algorithmName="SHA-512" hashValue="Ij/xWQwxgOpDlwGJDlDSEZqQXRyo3DS2Kg46EFMhQ0ILEuRyu4+xpmUwlsa56UIErYl73NxYpGE1t+o2zyUWzA==" saltValue="M90eVN0k7iXjL0EOiQLSmw==" spinCount="100000" sheet="1" objects="1" scenarios="1" selectLockedCells="1"/>
  <mergeCells count="135">
    <mergeCell ref="B155:B159"/>
    <mergeCell ref="C155:C159"/>
    <mergeCell ref="D155:D159"/>
    <mergeCell ref="E155:E159"/>
    <mergeCell ref="F155:F159"/>
    <mergeCell ref="G155:G159"/>
    <mergeCell ref="K155:K159"/>
    <mergeCell ref="G160:G164"/>
    <mergeCell ref="K160:K164"/>
    <mergeCell ref="B165:B169"/>
    <mergeCell ref="C165:C169"/>
    <mergeCell ref="D165:D169"/>
    <mergeCell ref="E165:E169"/>
    <mergeCell ref="F165:F169"/>
    <mergeCell ref="G165:G169"/>
    <mergeCell ref="K165:K169"/>
    <mergeCell ref="B160:B164"/>
    <mergeCell ref="C160:C164"/>
    <mergeCell ref="D160:D164"/>
    <mergeCell ref="E160:E164"/>
    <mergeCell ref="F160:F164"/>
    <mergeCell ref="B150:B154"/>
    <mergeCell ref="C150:C154"/>
    <mergeCell ref="D150:D154"/>
    <mergeCell ref="E150:E154"/>
    <mergeCell ref="F150:F154"/>
    <mergeCell ref="G139:G143"/>
    <mergeCell ref="K139:K143"/>
    <mergeCell ref="B144:B148"/>
    <mergeCell ref="C144:C148"/>
    <mergeCell ref="D144:D148"/>
    <mergeCell ref="E144:E148"/>
    <mergeCell ref="F144:F148"/>
    <mergeCell ref="G144:G148"/>
    <mergeCell ref="K144:K148"/>
    <mergeCell ref="B139:B143"/>
    <mergeCell ref="C139:C143"/>
    <mergeCell ref="D139:D143"/>
    <mergeCell ref="E139:E143"/>
    <mergeCell ref="F139:F143"/>
    <mergeCell ref="G150:G154"/>
    <mergeCell ref="K150:K154"/>
    <mergeCell ref="G129:G133"/>
    <mergeCell ref="K129:K133"/>
    <mergeCell ref="B134:B138"/>
    <mergeCell ref="C134:C138"/>
    <mergeCell ref="D134:D138"/>
    <mergeCell ref="E134:E138"/>
    <mergeCell ref="F134:F138"/>
    <mergeCell ref="G134:G138"/>
    <mergeCell ref="K134:K138"/>
    <mergeCell ref="B129:B133"/>
    <mergeCell ref="C129:C133"/>
    <mergeCell ref="D129:D133"/>
    <mergeCell ref="E129:E133"/>
    <mergeCell ref="F129:F133"/>
    <mergeCell ref="G119:G123"/>
    <mergeCell ref="K119:K123"/>
    <mergeCell ref="B124:B128"/>
    <mergeCell ref="C124:C128"/>
    <mergeCell ref="D124:D128"/>
    <mergeCell ref="E124:E128"/>
    <mergeCell ref="F124:F128"/>
    <mergeCell ref="G124:G128"/>
    <mergeCell ref="K124:K128"/>
    <mergeCell ref="B119:B123"/>
    <mergeCell ref="C119:C123"/>
    <mergeCell ref="D119:D123"/>
    <mergeCell ref="E119:E123"/>
    <mergeCell ref="F119:F123"/>
    <mergeCell ref="G109:G113"/>
    <mergeCell ref="K109:K113"/>
    <mergeCell ref="B114:B118"/>
    <mergeCell ref="C114:C118"/>
    <mergeCell ref="D114:D118"/>
    <mergeCell ref="E114:E118"/>
    <mergeCell ref="F114:F118"/>
    <mergeCell ref="G114:G118"/>
    <mergeCell ref="K114:K118"/>
    <mergeCell ref="B109:B113"/>
    <mergeCell ref="C109:C113"/>
    <mergeCell ref="D109:D113"/>
    <mergeCell ref="E109:E113"/>
    <mergeCell ref="F109:F113"/>
    <mergeCell ref="G99:G103"/>
    <mergeCell ref="K99:K103"/>
    <mergeCell ref="B104:B108"/>
    <mergeCell ref="C104:C108"/>
    <mergeCell ref="D104:D108"/>
    <mergeCell ref="E104:E108"/>
    <mergeCell ref="F104:F108"/>
    <mergeCell ref="G104:G108"/>
    <mergeCell ref="K104:K108"/>
    <mergeCell ref="B99:B103"/>
    <mergeCell ref="C99:C103"/>
    <mergeCell ref="D99:D103"/>
    <mergeCell ref="E99:E103"/>
    <mergeCell ref="F99:F103"/>
    <mergeCell ref="G88:G92"/>
    <mergeCell ref="K88:K92"/>
    <mergeCell ref="B93:B97"/>
    <mergeCell ref="C93:C97"/>
    <mergeCell ref="D93:D97"/>
    <mergeCell ref="E93:E97"/>
    <mergeCell ref="F93:F97"/>
    <mergeCell ref="G93:G97"/>
    <mergeCell ref="K93:K97"/>
    <mergeCell ref="B88:B92"/>
    <mergeCell ref="C88:C92"/>
    <mergeCell ref="D88:D92"/>
    <mergeCell ref="E88:E92"/>
    <mergeCell ref="F88:F92"/>
    <mergeCell ref="B83:B87"/>
    <mergeCell ref="C83:C87"/>
    <mergeCell ref="D83:D87"/>
    <mergeCell ref="E83:E87"/>
    <mergeCell ref="F83:F87"/>
    <mergeCell ref="G83:G87"/>
    <mergeCell ref="K83:K87"/>
    <mergeCell ref="B78:B82"/>
    <mergeCell ref="C78:C82"/>
    <mergeCell ref="D78:D82"/>
    <mergeCell ref="E78:E82"/>
    <mergeCell ref="F78:F82"/>
    <mergeCell ref="B2:K2"/>
    <mergeCell ref="B8:G8"/>
    <mergeCell ref="C12:F12"/>
    <mergeCell ref="C13:F13"/>
    <mergeCell ref="C14:F14"/>
    <mergeCell ref="C15:F15"/>
    <mergeCell ref="C16:F16"/>
    <mergeCell ref="C17:F17"/>
    <mergeCell ref="G78:G82"/>
    <mergeCell ref="K78:K82"/>
    <mergeCell ref="D20:G20"/>
  </mergeCells>
  <conditionalFormatting sqref="G18">
    <cfRule type="expression" dxfId="74" priority="16">
      <formula>$H$38&lt;0</formula>
    </cfRule>
  </conditionalFormatting>
  <conditionalFormatting sqref="H29 H31 H33 H35 H44 H46 H52 H54 H56 H65">
    <cfRule type="expression" dxfId="73" priority="17">
      <formula>$H$38&lt;0</formula>
    </cfRule>
    <cfRule type="expression" dxfId="72" priority="18">
      <formula>$H$38&gt;0</formula>
    </cfRule>
  </conditionalFormatting>
  <conditionalFormatting sqref="J66 N66 J29:N36 J38:N57 J59:N65">
    <cfRule type="expression" dxfId="71" priority="15">
      <formula>"""ok"""</formula>
    </cfRule>
  </conditionalFormatting>
  <conditionalFormatting sqref="H42">
    <cfRule type="expression" dxfId="70" priority="13">
      <formula>$H$38&lt;0</formula>
    </cfRule>
    <cfRule type="expression" dxfId="69" priority="14">
      <formula>$H$38&gt;0</formula>
    </cfRule>
  </conditionalFormatting>
  <conditionalFormatting sqref="H50">
    <cfRule type="expression" dxfId="68" priority="11">
      <formula>$H$38&lt;0</formula>
    </cfRule>
    <cfRule type="expression" dxfId="67" priority="12">
      <formula>$H$38&gt;0</formula>
    </cfRule>
  </conditionalFormatting>
  <conditionalFormatting sqref="H63">
    <cfRule type="expression" dxfId="66" priority="9">
      <formula>$H$38&lt;0</formula>
    </cfRule>
    <cfRule type="expression" dxfId="65" priority="10">
      <formula>$H$38&gt;0</formula>
    </cfRule>
  </conditionalFormatting>
  <conditionalFormatting sqref="H48">
    <cfRule type="expression" dxfId="64" priority="7">
      <formula>$H$38&lt;0</formula>
    </cfRule>
    <cfRule type="expression" dxfId="63" priority="8">
      <formula>$H$38&gt;0</formula>
    </cfRule>
  </conditionalFormatting>
  <conditionalFormatting sqref="H59">
    <cfRule type="expression" dxfId="62" priority="5">
      <formula>$H$38&lt;0</formula>
    </cfRule>
    <cfRule type="expression" dxfId="61" priority="6">
      <formula>$H$38&gt;0</formula>
    </cfRule>
  </conditionalFormatting>
  <conditionalFormatting sqref="H38">
    <cfRule type="expression" dxfId="60" priority="3">
      <formula>$H$38&lt;0</formula>
    </cfRule>
    <cfRule type="expression" dxfId="59" priority="4">
      <formula>$H$38&gt;0</formula>
    </cfRule>
  </conditionalFormatting>
  <conditionalFormatting sqref="H40">
    <cfRule type="expression" dxfId="58" priority="1">
      <formula>$H$38&lt;0</formula>
    </cfRule>
    <cfRule type="expression" dxfId="57" priority="2">
      <formula>$H$38&gt;0</formula>
    </cfRule>
  </conditionalFormatting>
  <pageMargins left="0.70866141732283472" right="0.70866141732283472" top="0.74803149606299213" bottom="0.74803149606299213" header="0.31496062992125984" footer="0.31496062992125984"/>
  <pageSetup paperSize="9" scale="68" orientation="portrait" r:id="rId1"/>
  <ignoredErrors>
    <ignoredError sqref="C59:C60 C30:C36 C38:C57" formula="1"/>
    <ignoredError sqref="J78:J178" evalError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40F5-D942-4612-A7F4-62AD403D2862}">
  <sheetPr codeName="Hoja12">
    <pageSetUpPr fitToPage="1"/>
  </sheetPr>
  <dimension ref="A1:W174"/>
  <sheetViews>
    <sheetView showGridLines="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500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7 : Comunidad Autónoma de Cataluña.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oferta'!$B$18&amp;"T1_L07_cab"</f>
        <v>T1_L07_cab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oferta'!$B$18&amp;"T1_L07_DAB1"</f>
        <v>T1_L07_DAB1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decimales",IF(VLOOKUP(7,'RESUMEN LOTES'!B7:E15,4,FALSE)&lt;G18,"Importe ofertado supera max. € "&amp;VLOOKUP(7,'RESUMEN LOTES'!B7:E15,4,FALSE),IF(COUNTIFS($M$29:$M$64,"ok")&lt;&gt;16,"Debe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+IF(OR($G$18=0,LEN($G$18)=0),"¿?",IF(COUNTIFS($M$29:$M$64,"ok")&lt;&gt;16,"¿?",+IF(C13="Debe revisar Desglose 2 IMPORTE ofertado POR SEDE","¿?",+SUMIFS($J$76:$J$165,$H$76:$H$165,C13))))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oferta'!$B$18&amp;"T1_L07_DAB2"</f>
        <v>T1_L07_DAB2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decimales",IF(VLOOKUP(7,'RESUMEN LOTES'!B7:E15,4,FALSE)&lt;G18,"Importe ofertado supera max. € "&amp;VLOOKUP(7,'RESUMEN LOTES'!B7:E15,4,FALSE),IF(COUNTIFS($M$29:$M$64,"ok")&lt;&gt;16,"Debe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+IF(OR($G$18=0,LEN($G$18)=0),"¿?",IF(COUNTIFS($M$29:$M$64,"ok")&lt;&gt;16,"¿?",+IF(C14="Debe revisar Desglose 2 IMPORTE ofertado POR SEDE","¿?",+SUMIFS($J$76:$J$165,$H$76:$H$165,C14))))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oferta'!$B$18&amp;"T1_L07_DAB3"</f>
        <v>T1_L07_DAB3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decimales",IF(VLOOKUP(7,'RESUMEN LOTES'!B7:E15,4,FALSE)&lt;G18,"Importe ofertado supera max. € "&amp;VLOOKUP(7,'RESUMEN LOTES'!B7:E15,4,FALSE),IF(COUNTIFS($M$29:$M$64,"ok")&lt;&gt;16,"Debe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+IF(OR($G$18=0,LEN($G$18)=0),"¿?",IF(COUNTIFS($M$29:$M$64,"ok")&lt;&gt;16,"¿?",+IF(C15="Debe revisar Desglose 2 IMPORTE ofertado POR SEDE","¿?",+SUMIFS($J$76:$J$165,$H$76:$H$165,C15))))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oferta'!$B$18&amp;"T1_L07_DAB4"</f>
        <v>T1_L07_DAB4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decimales",IF(VLOOKUP(7,'RESUMEN LOTES'!B7:E15,4,FALSE)&lt;G18,"Importe ofertado supera max. € "&amp;VLOOKUP(7,'RESUMEN LOTES'!B7:E15,4,FALSE),IF(COUNTIFS($M$29:$M$64,"ok")&lt;&gt;16,"Debe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+IF(OR($G$18=0,LEN($G$18)=0),"¿?",IF(COUNTIFS($M$29:$M$64,"ok")&lt;&gt;16,"¿?",+IF(C16="Debe revisar Desglose 2 IMPORTE ofertado POR SEDE","¿?",+SUMIFS($J$76:$J$165,$H$76:$H$165,C16))))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oferta'!$B$18&amp;"T1_L07_DAB5"</f>
        <v>T1_L07_DAB5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decimales",IF(VLOOKUP(7,'RESUMEN LOTES'!B7:E15,4,FALSE)&lt;G18,"Importe ofertado supera max. € "&amp;VLOOKUP(7,'RESUMEN LOTES'!B7:E15,4,FALSE),IF(COUNTIFS($M$29:$M$64,"ok")&lt;&gt;16,"Debe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+IF(OR($G$18=0,LEN($G$18)=0),"¿?",IF(COUNTIFS($M$29:$M$64,"ok")&lt;&gt;16,"¿?",+IF(C17="Debe revisar Desglose 2 IMPORTE ofertado POR SEDE","¿?",+SUMIFS($J$76:$J$165,$H$76:$H$165,"Registro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oferta'!$B$18&amp;"T1_L07_TOT"</f>
        <v>T1_L07_TOT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oferta'!$B$18&amp;"T2_L07_cab0a"</f>
        <v>T2_L07_cab0a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oferta'!$B$18&amp;"T2_L07_cab0b"</f>
        <v>T2_L07_cab0b</v>
      </c>
      <c r="B27" s="163" t="s">
        <v>277</v>
      </c>
      <c r="C27" s="164" t="s">
        <v>362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oferta'!$B$18&amp;"T2_L07_cab1(CA)"</f>
        <v>T2_L07_cab1(CA)</v>
      </c>
      <c r="B28" s="170" t="s">
        <v>390</v>
      </c>
      <c r="C28" s="171" t="s">
        <v>278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21.95" customHeight="1" thickBot="1" x14ac:dyDescent="0.3">
      <c r="A29" s="147" t="str">
        <f>+'Anx I pg 1 oferta'!$B$18&amp;"T2_L07_inst_"&amp;B29</f>
        <v>T2_L07_inst_L07-01</v>
      </c>
      <c r="B29" s="176" t="s">
        <v>279</v>
      </c>
      <c r="C29" s="177" t="str">
        <f>+VLOOKUP(B29,'DATOS CENTROS'!B:F,4,FALSE)</f>
        <v>C.T. RNE BARCELONA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7.3999999999999996E-2</v>
      </c>
      <c r="G29" s="181" t="str">
        <f>+IF(OR($G$18=0,LEN($G$18)=0),"",+ROUND(((H29)/$G$18),6))</f>
        <v/>
      </c>
      <c r="H29" s="217"/>
      <c r="J29" s="183"/>
      <c r="K29" s="183"/>
      <c r="L29" s="183"/>
      <c r="M29" s="277" t="str">
        <f>+IFERROR(IF(N29&lt;&gt;TRUNC(N29,2),".+ de 2 decim.",IF(COUNTA($H$29:$H$64)&lt;16,16-COUNTA($H$29:$H$64)&amp;" Items ptes.ofertar ",IF(AND($G$18&gt;0,$H$37&gt;0,(N29)/(N29)=1),"ok","mal"))),"¿max.min.ofertado?")</f>
        <v>¿max.min.ofertado?</v>
      </c>
      <c r="N29" s="183" t="str">
        <f>+IF(OR($G$18=0,LEN($G$18)=0),"",IF(OR($G$18&lt;0,+$G$18/$G$18&lt;&gt;1),"Total oferta Lote incorrecto (no numérico o negativo)",IF(AND($G$18&gt;0,$H$37&gt;0,H29&lt;=0),"¿importe ofertado?",IF(AND($G$18&gt;0,$H$37&lt;0),"acum.of.oferta sede &gt;oferta lote",IF(AND($G$18&gt;0,$H$37&lt;&gt;0,H29&lt;VLOOKUP(B29,'% admitidos'!A:M,11,FALSE)),+"min."&amp;VLOOKUP(B29,'% admitidos'!A:M,11,FALSE),IF(AND($G$18&gt;0,$H$37&gt;0,H29&gt;VLOOKUP(B29,'%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2" customHeight="1" thickBot="1" x14ac:dyDescent="0.3">
      <c r="A30" s="147" t="s">
        <v>542</v>
      </c>
      <c r="B30" s="236" t="s">
        <v>390</v>
      </c>
      <c r="C30" s="24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61"/>
      <c r="E30" s="61"/>
      <c r="F30" s="67"/>
      <c r="G30" s="68"/>
      <c r="H30" s="123"/>
      <c r="J30" s="126"/>
      <c r="K30" s="126"/>
      <c r="L30" s="126"/>
      <c r="M30" s="279"/>
      <c r="N30" s="126"/>
    </row>
    <row r="31" spans="1:23" ht="21.95" customHeight="1" thickBot="1" x14ac:dyDescent="0.3">
      <c r="A31" s="147" t="str">
        <f>+'Anx I pg 1 oferta'!$B$18&amp;"T2_L07_inst_"&amp;B31</f>
        <v>T2_L07_inst_L07-02</v>
      </c>
      <c r="B31" s="176" t="s">
        <v>281</v>
      </c>
      <c r="C31" s="177" t="str">
        <f>+VLOOKUP(B31,'DATOS CENTROS'!B:F,4,FALSE)</f>
        <v>C.E. OM PALAU DE PLEGAMANS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0.105</v>
      </c>
      <c r="G31" s="181" t="str">
        <f>+IF(OR($G$18=0,LEN($G$18)=0),"",+ROUND(((H31)/$G$18),6))</f>
        <v/>
      </c>
      <c r="H31" s="217"/>
      <c r="J31" s="183"/>
      <c r="K31" s="183"/>
      <c r="L31" s="183"/>
      <c r="M31" s="277" t="str">
        <f>+IFERROR(IF(N31&lt;&gt;TRUNC(N31,2),".+ de 2 decim.",IF(COUNTA($H$29:$H$64)&lt;16,16-COUNTA($H$29:$H$64)&amp;" Items ptes.ofertar ",IF(AND($G$18&gt;0,$H$37&gt;0,(N31)/(N31)=1),"ok","mal"))),"¿max.min.ofertado?")</f>
        <v>¿max.min.ofertado?</v>
      </c>
      <c r="N31" s="183" t="str">
        <f>+IF(OR($G$18=0,LEN($G$18)=0),"",IF(OR($G$18&lt;0,+$G$18/$G$18&lt;&gt;1),"Total oferta Lote incorrecto (no numérico o negativo)",IF(AND($G$18&gt;0,$H$37&gt;0,H31&lt;=0),"¿importe ofertado?",IF(AND($G$18&gt;0,$H$37&lt;0),"acum.of.oferta sede &gt;oferta lote",IF(AND($G$18&gt;0,$H$37&gt;0,H31&lt;VLOOKUP(B31,'% admitidos'!A:M,11,FALSE)),+"min."&amp;VLOOKUP(B31,'% admitidos'!A:M,11,FALSE),IF(AND($G$18&gt;0,$H$37&gt;0,H31&gt;VLOOKUP(B31,'% admitidos'!A:M,13,FALSE)),+"max."&amp;VLOOKUP(B31,'% admitidos'!A:M,13,FALSE),+H31))))))</f>
        <v/>
      </c>
    </row>
    <row r="32" spans="1:23" ht="12" customHeight="1" thickTop="1" thickBot="1" x14ac:dyDescent="0.3">
      <c r="A32" s="147" t="s">
        <v>542</v>
      </c>
      <c r="B32" s="237" t="s">
        <v>390</v>
      </c>
      <c r="C32" s="248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135"/>
      <c r="E32" s="135"/>
      <c r="F32" s="136"/>
      <c r="G32" s="137"/>
      <c r="H32" s="138"/>
      <c r="J32" s="126"/>
      <c r="K32" s="126"/>
      <c r="L32" s="126"/>
      <c r="M32" s="279"/>
      <c r="N32" s="126"/>
    </row>
    <row r="33" spans="1:23" ht="21.95" customHeight="1" thickBot="1" x14ac:dyDescent="0.3">
      <c r="A33" s="147" t="str">
        <f>+'Anx I pg 1 oferta'!$B$18&amp;"T2_L07_inst_"&amp;B33</f>
        <v>T2_L07_inst_L07-03</v>
      </c>
      <c r="B33" s="176" t="s">
        <v>283</v>
      </c>
      <c r="C33" s="177" t="str">
        <f>+VLOOKUP(B33,'DATOS CENTROS'!B:F,4,FALSE)</f>
        <v>C.P. Sant Cugat TALLERES Y ALMACÉN</v>
      </c>
      <c r="D33" s="178"/>
      <c r="E33" s="289" t="str">
        <f>+VLOOKUP(B33,'DATOS CENTROS'!B:F,3,FALSE)</f>
        <v xml:space="preserve"> A + C</v>
      </c>
      <c r="F33" s="180">
        <f>+VLOOKUP(B33,'DATOS CENTROS'!B:F,5,FALSE)</f>
        <v>9.0999999999999998E-2</v>
      </c>
      <c r="G33" s="181" t="str">
        <f>+IF(OR($G$18=0,LEN($G$18)=0),"",+ROUND(((H33)/$G$18),6))</f>
        <v/>
      </c>
      <c r="H33" s="217"/>
      <c r="J33" s="183"/>
      <c r="K33" s="183"/>
      <c r="L33" s="183"/>
      <c r="M33" s="277" t="str">
        <f>+IFERROR(IF(N33&lt;&gt;TRUNC(N33,2),".+ de 2 decim.",IF(COUNTA($H$29:$H$64)&lt;16,16-COUNTA($H$29:$H$64)&amp;" Items ptes.ofertar ",IF(AND($G$18&gt;0,$H$37&gt;0,(N33)/(N33)=1),"ok","mal"))),"¿max.min.ofertado?")</f>
        <v>¿max.min.ofertado?</v>
      </c>
      <c r="N33" s="183" t="str">
        <f>+IF(OR($G$18=0,LEN($G$18)=0),"",IF(OR($G$18&lt;0,+$G$18/$G$18&lt;&gt;1),"Total oferta Lote incorrecto (no numérico o negativo)",IF(AND($G$18&gt;0,$H$37&gt;0,H33&lt;=0),"¿importe ofertado?",IF(AND($G$18&gt;0,$H$37&lt;0),"acum.of.oferta sede &gt;oferta lote",IF(AND($G$18&gt;0,$H$37&gt;0,H33&lt;VLOOKUP(B33,'% admitidos'!A:M,11,FALSE)),+"min."&amp;VLOOKUP(B33,'% admitidos'!A:M,11,FALSE),IF(AND($G$18&gt;0,$H$37&gt;0,H33&gt;VLOOKUP(B33,'% admitidos'!A:M,13,FALSE)),+"max."&amp;VLOOKUP(B33,'% admitidos'!A:M,13,FALSE),+H33))))))</f>
        <v/>
      </c>
    </row>
    <row r="34" spans="1:23" ht="12" customHeight="1" thickBot="1" x14ac:dyDescent="0.3">
      <c r="A34" s="147" t="s">
        <v>542</v>
      </c>
      <c r="B34" s="236" t="s">
        <v>390</v>
      </c>
      <c r="C34" s="24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61"/>
      <c r="E34" s="61"/>
      <c r="F34" s="67"/>
      <c r="G34" s="67"/>
      <c r="H34" s="123"/>
      <c r="J34" s="126"/>
      <c r="K34" s="126"/>
      <c r="L34" s="126"/>
      <c r="M34" s="279"/>
      <c r="N34" s="126"/>
    </row>
    <row r="35" spans="1:23" ht="21.95" customHeight="1" thickBot="1" x14ac:dyDescent="0.3">
      <c r="A35" s="147" t="str">
        <f>+'Anx I pg 1 oferta'!$B$18&amp;"T2_L07_inst_"&amp;B35</f>
        <v>T2_L07_inst_L07-04</v>
      </c>
      <c r="B35" s="186" t="s">
        <v>285</v>
      </c>
      <c r="C35" s="187" t="str">
        <f>+VLOOKUP(B35,'DATOS CENTROS'!B:F,4,FALSE)</f>
        <v>C.P. Sant Cugat UUMM</v>
      </c>
      <c r="D35" s="188"/>
      <c r="E35" s="290" t="str">
        <f>+VLOOKUP(B35,'DATOS CENTROS'!B:F,3,FALSE)</f>
        <v xml:space="preserve"> A + C</v>
      </c>
      <c r="F35" s="220">
        <f>+VLOOKUP(B35,'DATOS CENTROS'!B:F,5,FALSE)</f>
        <v>0.06</v>
      </c>
      <c r="G35" s="190" t="str">
        <f>+IF(OR($G$18=0,LEN($G$18)=0),"",+ROUND(((H35)/$G$18),6))</f>
        <v/>
      </c>
      <c r="H35" s="218"/>
      <c r="J35" s="183"/>
      <c r="K35" s="183"/>
      <c r="L35" s="183"/>
      <c r="M35" s="277" t="str">
        <f>+IFERROR(IF(N35&lt;&gt;TRUNC(N35,2),".+ de 2 decim.",IF(COUNTA($H$29:$H$64)&lt;16,16-COUNTA($H$29:$H$64)&amp;" Items ptes.ofertar ",IF(AND($G$18&gt;0,$H$37&gt;0,(N35)/(N35)=1),"ok","mal"))),"¿max.min.ofertado?")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negativo)",IF(AND($G$18&gt;0,$H$37&gt;0,H35&lt;=0),"¿importe ofertado?",IF(AND($G$18&gt;0,$H$37&lt;0),"acum.of.oferta sede &gt;oferta lote",IF(AND($G$18&gt;0,$H$37&gt;0,H35&lt;VLOOKUP(B35,'% admitidos'!A:M,11,FALSE)),+"min."&amp;VLOOKUP(B35,'% admitidos'!A:M,11,FALSE),IF(AND($G$18&gt;0,$H$37&gt;0,H35&gt;VLOOKUP(B35,'% admitidos'!A:M,13,FALSE)),+"max."&amp;VLOOKUP(B35,'% admitidos'!A:M,13,FALSE),+H35))))))</f>
        <v/>
      </c>
    </row>
    <row r="36" spans="1:23" ht="12" customHeight="1" thickTop="1" thickBot="1" x14ac:dyDescent="0.3">
      <c r="A36" s="147" t="s">
        <v>542</v>
      </c>
      <c r="B36" s="152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69"/>
      <c r="G36" s="69"/>
      <c r="H36" s="71"/>
      <c r="J36" s="126"/>
      <c r="K36" s="126"/>
      <c r="L36" s="126"/>
      <c r="M36" s="279"/>
      <c r="N36" s="126"/>
    </row>
    <row r="37" spans="1:23" ht="21.95" customHeight="1" thickBot="1" x14ac:dyDescent="0.3">
      <c r="A37" s="147" t="str">
        <f>+'Anx I pg 1 oferta'!$B$18&amp;"T2_L07_inst_"&amp;B37</f>
        <v>T2_L07_inst_L07-05</v>
      </c>
      <c r="B37" s="176" t="s">
        <v>287</v>
      </c>
      <c r="C37" s="177" t="str">
        <f>+VLOOKUP(B37,'DATOS CENTROS'!B:F,4,FALSE)</f>
        <v>C.P. Sant Cugat BLOQUE OFICINAS</v>
      </c>
      <c r="D37" s="178"/>
      <c r="E37" s="179" t="str">
        <f>+VLOOKUP(B37,'DATOS CENTROS'!B:F,3,FALSE)</f>
        <v xml:space="preserve"> A + C</v>
      </c>
      <c r="F37" s="180">
        <f>+VLOOKUP(B37,'DATOS CENTROS'!B:F,5,FALSE)</f>
        <v>0.129</v>
      </c>
      <c r="G37" s="195" t="str">
        <f>+IF(OR($G$18=0,LEN($G$18)=0),"",1-SUM(G29:G36)-SUM(G39:G64))</f>
        <v/>
      </c>
      <c r="H37" s="197" t="str">
        <f>+IF(OR($G$18=0,+LEN($G$18)=0),"",+$G$18-SUM(H29:H36)-SUM(H39:H64))</f>
        <v/>
      </c>
      <c r="J37" s="183"/>
      <c r="K37" s="183"/>
      <c r="L37" s="183"/>
      <c r="M37" s="277" t="str">
        <f>+IFERROR(IF(COUNTA($H$29:$H$64)&lt;16,16-COUNTA($H$29:$H$64)&amp;" Items ptes.ofertar ",IF(AND($G$18&gt;0,$H$37&gt;0,(N37)/(N37)=1),"ok","mal")),"¿max.min.ofertado?")</f>
        <v xml:space="preserve">15 Items ptes.ofertar </v>
      </c>
      <c r="N37" s="183" t="str">
        <f>+IF(OR($G$18=0,LEN($G$18)=0),"",IF(OR($G$18&lt;0,+$G$18/$G$18&lt;&gt;1),"Total oferta Lote incorrecto (no numérico o negativo)",IF(AND($G$18&gt;0,$H$37&gt;0,H37&lt;=0),"¿importe ofertado?",IF(AND($G$18&gt;0,$H$37&lt;0),"acum.of.oferta sede &gt;oferta lote",IF(AND($G$18&gt;0,$H$37&lt;&gt;0,H37&lt;VLOOKUP(B37,'% admitidos'!A:M,13,FALSE)),+"MIN."&amp;VLOOKUP(B37,'% admitidos'!A:M,13,FALSE),IF(AND($G$18&gt;0,$H$37&gt;0,H37&gt;VLOOKUP(B37,'% admitidos'!A:M,11,FALSE)),+"MAX."&amp;VLOOKUP(B37,'% admitidos'!A:M,11,FALSE),+H37))))))</f>
        <v/>
      </c>
    </row>
    <row r="38" spans="1:23" ht="12" customHeight="1" thickTop="1" thickBot="1" x14ac:dyDescent="0.3">
      <c r="A38" s="147" t="s">
        <v>542</v>
      </c>
      <c r="B38" s="237" t="s">
        <v>390</v>
      </c>
      <c r="C38" s="240" t="str">
        <f>+IF(LEN('Anx I pg 1 oferta'!$C$56)&gt;0,"","MAX.  "&amp;VLOOKUP(B37,'% admitidos'!A:M,11,FALSE)&amp;" - med.  "&amp;VLOOKUP(B37,'% admitidos'!A:M,12,FALSE)&amp;" - MIN. "&amp;VLOOKUP(B37,'% admitidos'!A:M,13,FALSE))</f>
        <v>MAX.  0 - med.  0 - MIN. 0</v>
      </c>
      <c r="D38" s="135"/>
      <c r="E38" s="135"/>
      <c r="F38" s="135"/>
      <c r="G38" s="135"/>
      <c r="H38" s="144"/>
      <c r="J38" s="107"/>
      <c r="K38" s="107"/>
      <c r="L38" s="107"/>
      <c r="M38" s="279"/>
      <c r="N38" s="107"/>
    </row>
    <row r="39" spans="1:23" ht="21.95" customHeight="1" thickBot="1" x14ac:dyDescent="0.3">
      <c r="A39" s="147" t="str">
        <f>+'Anx I pg 1 oferta'!$B$18&amp;"T2_L07_inst_"&amp;B39</f>
        <v>T2_L07_inst_L07-06</v>
      </c>
      <c r="B39" s="176" t="s">
        <v>289</v>
      </c>
      <c r="C39" s="177" t="str">
        <f>+VLOOKUP(B39,'DATOS CENTROS'!B:F,4,FALSE)</f>
        <v>C.P. Sant Cugat BLOQUE TÉCNICO</v>
      </c>
      <c r="D39" s="178"/>
      <c r="E39" s="179" t="str">
        <f>+VLOOKUP(B39,'DATOS CENTROS'!B:F,3,FALSE)</f>
        <v xml:space="preserve"> A + C</v>
      </c>
      <c r="F39" s="220">
        <f>+VLOOKUP(B39,'DATOS CENTROS'!B:F,5,FALSE)</f>
        <v>7.8E-2</v>
      </c>
      <c r="G39" s="190" t="str">
        <f>+IF(OR($G$18=0,LEN($G$18)=0),"",+ROUND(((H39)/$G$18),6))</f>
        <v/>
      </c>
      <c r="H39" s="218"/>
      <c r="J39" s="183"/>
      <c r="K39" s="183"/>
      <c r="L39" s="183"/>
      <c r="M39" s="277" t="str">
        <f>+IFERROR(IF(N39&lt;&gt;TRUNC(N39,2),".+ de 2 decim.",IF(COUNTA($H$29:$H$64)&lt;16,16-COUNTA($H$29:$H$64)&amp;" Items ptes.ofertar ",IF(AND($G$18&gt;0,$H$37&gt;0,(N39)/(N39)=1),"ok","mal"))),"¿max.min.ofertado?")</f>
        <v>¿max.min.ofertado?</v>
      </c>
      <c r="N39" s="183" t="str">
        <f>+IF(OR($G$18=0,LEN($G$18)=0),"",IF(OR($G$18&lt;0,+$G$18/$G$18&lt;&gt;1),"Total oferta Lote incorrecto (no numérico o negativo)",IF(AND($G$18&gt;0,$H$37&gt;0,H39&lt;=0),"¿importe ofertado?",IF(AND($G$18&gt;0,$H$37&lt;0),"acum.of.oferta sede &gt;oferta lote",IF(AND($G$18&gt;0,$H$37&gt;0,H39&lt;VLOOKUP(B39,'% admitidos'!A:M,11,FALSE)),+"min."&amp;VLOOKUP(B39,'% admitidos'!A:M,11,FALSE),IF(AND($G$18&gt;0,$H$37&gt;0,H39&gt;VLOOKUP(B39,'% admitidos'!A:M,13,FALSE)),+"max."&amp;VLOOKUP(B39,'% admitidos'!A:M,13,FALSE),+H39))))))</f>
        <v/>
      </c>
      <c r="Q39" s="101"/>
      <c r="R39" s="101"/>
      <c r="S39" s="101"/>
      <c r="T39" s="101"/>
      <c r="U39" s="101"/>
      <c r="V39" s="101"/>
      <c r="W39" s="101"/>
    </row>
    <row r="40" spans="1:23" ht="12" customHeight="1" thickBot="1" x14ac:dyDescent="0.3">
      <c r="A40" s="147" t="s">
        <v>542</v>
      </c>
      <c r="B40" s="236" t="s">
        <v>390</v>
      </c>
      <c r="C40" s="254" t="str">
        <f>+IF(LEN('Anx I pg 1 oferta'!$C$56)&gt;0,"","min. "&amp;VLOOKUP(B39,'% admitidos'!A:M,11,FALSE)&amp;" - med.  "&amp;VLOOKUP(B39,'% admitidos'!A:M,12,FALSE)&amp;" - max.  "&amp;VLOOKUP(B39,'% admitidos'!A:M,13,FALSE))</f>
        <v>min. 0 - med.  0 - max.  0</v>
      </c>
      <c r="D40" s="61"/>
      <c r="E40" s="61"/>
      <c r="F40" s="67"/>
      <c r="G40" s="68"/>
      <c r="H40" s="123"/>
      <c r="J40" s="126"/>
      <c r="K40" s="126"/>
      <c r="L40" s="126"/>
      <c r="M40" s="279"/>
      <c r="N40" s="126"/>
    </row>
    <row r="41" spans="1:23" ht="21.95" customHeight="1" thickBot="1" x14ac:dyDescent="0.3">
      <c r="A41" s="147" t="str">
        <f>+'Anx I pg 1 oferta'!$B$18&amp;"T2_L07_inst_"&amp;B41</f>
        <v>T2_L07_inst_L07-07</v>
      </c>
      <c r="B41" s="186" t="s">
        <v>291</v>
      </c>
      <c r="C41" s="187" t="str">
        <f>+VLOOKUP(B41,'DATOS CENTROS'!B:F,4,FALSE)</f>
        <v>C.P. Sant Cugat EE 1 Y 2, CC Y PREMONTAJE</v>
      </c>
      <c r="D41" s="188"/>
      <c r="E41" s="189" t="str">
        <f>+VLOOKUP(B41,'DATOS CENTROS'!B:F,3,FALSE)</f>
        <v xml:space="preserve"> A + C</v>
      </c>
      <c r="F41" s="220">
        <f>+VLOOKUP(B41,'DATOS CENTROS'!B:F,5,FALSE)</f>
        <v>8.5000000000000006E-2</v>
      </c>
      <c r="G41" s="190" t="str">
        <f>+IF(OR($G$18=0,LEN($G$18)=0),"",+ROUND(((H41)/$G$18),6))</f>
        <v/>
      </c>
      <c r="H41" s="218"/>
      <c r="J41" s="183"/>
      <c r="K41" s="183"/>
      <c r="L41" s="183"/>
      <c r="M41" s="277" t="str">
        <f>+IFERROR(IF(N41&lt;&gt;TRUNC(N41,2),".+ de 2 decim.",IF(COUNTA($H$29:$H$64)&lt;16,16-COUNTA($H$29:$H$64)&amp;" Items ptes.ofertar ",IF(AND($G$18&gt;0,$H$37&gt;0,(N41)/(N41)=1),"ok","mal"))),"¿max.min.ofertado?")</f>
        <v>¿max.min.ofertado?</v>
      </c>
      <c r="N41" s="183" t="str">
        <f>+IF(OR($G$18=0,LEN($G$18)=0),"",IF(OR($G$18&lt;0,+$G$18/$G$18&lt;&gt;1),"Total oferta Lote incorrecto (no numérico o negativo)",IF(AND($G$18&gt;0,$H$37&gt;0,H41&lt;=0),"¿importe ofertado?",IF(AND($G$18&gt;0,$H$37&lt;0),"acum.of.oferta sede &gt;oferta lote",IF(AND($G$18&gt;0,$H$37&gt;0,H41&lt;VLOOKUP(B41,'% admitidos'!A:M,11,FALSE)),+"min."&amp;VLOOKUP(B41,'% admitidos'!A:M,11,FALSE),IF(AND($G$18&gt;0,$H$37&gt;0,H41&gt;VLOOKUP(B41,'% admitidos'!A:M,13,FALSE)),+"max."&amp;VLOOKUP(B41,'% admitidos'!A:M,13,FALSE),+H41))))))</f>
        <v/>
      </c>
    </row>
    <row r="42" spans="1:23" ht="12" customHeight="1" thickTop="1" thickBot="1" x14ac:dyDescent="0.3">
      <c r="A42" s="147" t="s">
        <v>542</v>
      </c>
      <c r="B42" s="152" t="s">
        <v>390</v>
      </c>
      <c r="C42" s="254" t="str">
        <f>+IF(LEN('Anx I pg 1 oferta'!$C$56)&gt;0,"","min. "&amp;VLOOKUP(B41,'% admitidos'!A:M,11,FALSE)&amp;" - med.  "&amp;VLOOKUP(B41,'% admitidos'!A:M,12,FALSE)&amp;" - max.  "&amp;VLOOKUP(B41,'% admitidos'!A:M,13,FALSE))</f>
        <v>min. 0 - med.  0 - max.  0</v>
      </c>
      <c r="D42" s="54"/>
      <c r="E42" s="54"/>
      <c r="F42" s="69"/>
      <c r="G42" s="70"/>
      <c r="H42" s="124"/>
      <c r="J42" s="126"/>
      <c r="K42" s="126"/>
      <c r="L42" s="126"/>
      <c r="M42" s="279"/>
      <c r="N42" s="126"/>
    </row>
    <row r="43" spans="1:23" ht="21.95" customHeight="1" thickBot="1" x14ac:dyDescent="0.3">
      <c r="A43" s="147" t="str">
        <f>+'Anx I pg 1 oferta'!$B$18&amp;"T2_L07_inst_"&amp;B43</f>
        <v>T2_L07_inst_L07-08</v>
      </c>
      <c r="B43" s="176" t="s">
        <v>293</v>
      </c>
      <c r="C43" s="177" t="str">
        <f>+VLOOKUP(B43,'DATOS CENTROS'!B:F,4,FALSE)</f>
        <v>C.P. Sant Cugat EE 3 Y 4, CC Y PREMONTAJE</v>
      </c>
      <c r="D43" s="178"/>
      <c r="E43" s="179" t="str">
        <f>+VLOOKUP(B43,'DATOS CENTROS'!B:F,3,FALSE)</f>
        <v xml:space="preserve"> A + C</v>
      </c>
      <c r="F43" s="180">
        <f>+VLOOKUP(B43,'DATOS CENTROS'!B:F,5,FALSE)</f>
        <v>9.2999999999999999E-2</v>
      </c>
      <c r="G43" s="181" t="str">
        <f>+IF(OR($G$18=0,LEN($G$18)=0),"",+ROUND(((H43)/$G$18),6))</f>
        <v/>
      </c>
      <c r="H43" s="217"/>
      <c r="J43" s="183"/>
      <c r="K43" s="183"/>
      <c r="L43" s="183"/>
      <c r="M43" s="277" t="str">
        <f>+IFERROR(IF(N43&lt;&gt;TRUNC(N43,2),".+ de 2 decim.",IF(COUNTA($H$29:$H$64)&lt;16,16-COUNTA($H$29:$H$64)&amp;" Items ptes.ofertar ",IF(AND($G$18&gt;0,$H$37&gt;0,(N43)/(N43)=1),"ok","mal"))),"¿max.min.ofertado?")</f>
        <v>¿max.min.ofertado?</v>
      </c>
      <c r="N43" s="183" t="str">
        <f>+IF(OR($G$18=0,LEN($G$18)=0),"",IF(OR($G$18&lt;0,+$G$18/$G$18&lt;&gt;1),"Total oferta Lote incorrecto (no numérico o negativo)",IF(AND($G$18&gt;0,$H$37&gt;0,H43&lt;=0),"¿importe ofertado?",IF(AND($G$18&gt;0,$H$37&lt;0),"acum.of.oferta sede &gt;oferta lote",IF(AND($G$18&gt;0,$H$37&gt;0,H43&lt;VLOOKUP(B43,'% admitidos'!A:M,11,FALSE)),+"min."&amp;VLOOKUP(B43,'% admitidos'!A:M,11,FALSE),IF(AND($G$18&gt;0,$H$37&gt;0,H43&gt;VLOOKUP(B43,'% admitidos'!A:M,13,FALSE)),+"max."&amp;VLOOKUP(B43,'% admitidos'!A:M,13,FALSE),+H43))))))</f>
        <v/>
      </c>
    </row>
    <row r="44" spans="1:23" ht="12" customHeight="1" thickBot="1" x14ac:dyDescent="0.3">
      <c r="A44" s="147" t="s">
        <v>542</v>
      </c>
      <c r="B44" s="236" t="s">
        <v>390</v>
      </c>
      <c r="C44" s="240" t="str">
        <f>+IF(LEN('Anx I pg 1 oferta'!$C$56)&gt;0,"","min. "&amp;VLOOKUP(B43,'% admitidos'!A:M,11,FALSE)&amp;" - med.  "&amp;VLOOKUP(B43,'% admitidos'!A:M,12,FALSE)&amp;" - max.  "&amp;VLOOKUP(B43,'% admitidos'!A:M,13,FALSE))</f>
        <v>min. 0 - med.  0 - max.  0</v>
      </c>
      <c r="D44" s="61"/>
      <c r="E44" s="61"/>
      <c r="F44" s="67"/>
      <c r="G44" s="67"/>
      <c r="H44" s="123"/>
      <c r="J44" s="126"/>
      <c r="K44" s="126"/>
      <c r="L44" s="126"/>
      <c r="M44" s="279"/>
      <c r="N44" s="126"/>
    </row>
    <row r="45" spans="1:23" ht="21.95" customHeight="1" thickBot="1" x14ac:dyDescent="0.3">
      <c r="A45" s="147" t="str">
        <f>+'Anx I pg 1 oferta'!$B$18&amp;"T2_L07_inst_"&amp;B45</f>
        <v>T2_L07_inst_L07-09</v>
      </c>
      <c r="B45" s="176" t="s">
        <v>295</v>
      </c>
      <c r="C45" s="177" t="str">
        <f>+VLOOKUP(B45,'DATOS CENTROS'!B:F,4,FALSE)</f>
        <v>C.P. Sant Cugat EE 5 Y 6, CC Y PREMONTAJE</v>
      </c>
      <c r="D45" s="178"/>
      <c r="E45" s="179" t="str">
        <f>+VLOOKUP(B45,'DATOS CENTROS'!B:F,3,FALSE)</f>
        <v xml:space="preserve"> A + C</v>
      </c>
      <c r="F45" s="180">
        <f>+VLOOKUP(B45,'DATOS CENTROS'!B:F,5,FALSE)</f>
        <v>0.107</v>
      </c>
      <c r="G45" s="181" t="str">
        <f>+IF(OR($G$18=0,LEN($G$18)=0),"",+ROUND(((H45)/$G$18),6))</f>
        <v/>
      </c>
      <c r="H45" s="217"/>
      <c r="J45" s="183"/>
      <c r="K45" s="183"/>
      <c r="L45" s="183"/>
      <c r="M45" s="277" t="str">
        <f>+IFERROR(IF(N45&lt;&gt;TRUNC(N45,2),".+ de 2 decim.",IF(COUNTA($H$29:$H$64)&lt;16,16-COUNTA($H$29:$H$64)&amp;" Items ptes.ofertar ",IF(AND($G$18&gt;0,$H$37&gt;0,(N45)/(N45)=1),"ok","mal"))),"¿max.min.ofertado?")</f>
        <v>¿max.min.ofertado?</v>
      </c>
      <c r="N45" s="183" t="str">
        <f>+IF(OR($G$18=0,LEN($G$18)=0),"",IF(OR($G$18&lt;0,+$G$18/$G$18&lt;&gt;1),"Total oferta Lote incorrecto (no numérico o negativo)",IF(AND($G$18&gt;0,$H$37&gt;0,H45&lt;=0),"¿importe ofertado?",IF(AND($G$18&gt;0,$H$37&lt;0),"acum.of.oferta sede &gt;oferta lote",IF(AND($G$18&gt;0,$H$37&gt;0,H45&lt;VLOOKUP(B45,'% admitidos'!A:M,11,FALSE)),+"min."&amp;VLOOKUP(B45,'% admitidos'!A:M,11,FALSE),IF(AND($G$18&gt;0,$H$37&gt;0,H45&gt;VLOOKUP(B45,'% admitidos'!A:M,13,FALSE)),+"max."&amp;VLOOKUP(B45,'% admitidos'!A:M,13,FALSE),+H45))))))</f>
        <v/>
      </c>
    </row>
    <row r="46" spans="1:23" ht="12" customHeight="1" thickBot="1" x14ac:dyDescent="0.3">
      <c r="A46" s="147" t="s">
        <v>542</v>
      </c>
      <c r="B46" s="236" t="s">
        <v>390</v>
      </c>
      <c r="C46" s="240" t="str">
        <f>+IF(LEN('Anx I pg 1 oferta'!$C$56)&gt;0,"","min. "&amp;VLOOKUP(B45,'% admitidos'!A:M,11,FALSE)&amp;" - med.  "&amp;VLOOKUP(B45,'% admitidos'!A:M,12,FALSE)&amp;" - max.  "&amp;VLOOKUP(B45,'% admitidos'!A:M,13,FALSE))</f>
        <v>min. 0 - med.  0 - max.  0</v>
      </c>
      <c r="D46" s="61"/>
      <c r="E46" s="61"/>
      <c r="F46" s="67"/>
      <c r="G46" s="67"/>
      <c r="H46" s="145"/>
      <c r="J46" s="126"/>
      <c r="K46" s="126"/>
      <c r="L46" s="126"/>
      <c r="M46" s="279"/>
      <c r="N46" s="126"/>
    </row>
    <row r="47" spans="1:23" ht="21.95" customHeight="1" thickBot="1" x14ac:dyDescent="0.3">
      <c r="A47" s="147" t="str">
        <f>+'Anx I pg 1 oferta'!$B$18&amp;"T2_L07_inst_"&amp;B47</f>
        <v>T2_L07_inst_L07-10</v>
      </c>
      <c r="B47" s="191" t="s">
        <v>297</v>
      </c>
      <c r="C47" s="192" t="str">
        <f>+VLOOKUP(B47,'DATOS CENTROS'!B:F,4,FALSE)</f>
        <v>C.P. Sant Cugat MODULO CENTRAL</v>
      </c>
      <c r="D47" s="193"/>
      <c r="E47" s="194" t="str">
        <f>+VLOOKUP(B47,'DATOS CENTROS'!B:F,3,FALSE)</f>
        <v xml:space="preserve"> A + C</v>
      </c>
      <c r="F47" s="220">
        <f>+VLOOKUP(B47,'DATOS CENTROS'!B:F,5,FALSE)</f>
        <v>7.5999999999999998E-2</v>
      </c>
      <c r="G47" s="195" t="str">
        <f>+IF(OR($G$18=0,LEN($G$18)=0),"",+ROUND(((H47)/$G$18),6))</f>
        <v/>
      </c>
      <c r="H47" s="219"/>
      <c r="J47" s="183"/>
      <c r="K47" s="183"/>
      <c r="L47" s="183"/>
      <c r="M47" s="277" t="str">
        <f>+IFERROR(IF(N47&lt;&gt;TRUNC(N47,2),".+ de 2 decim.",IF(COUNTA($H$29:$H$64)&lt;16,16-COUNTA($H$29:$H$64)&amp;" Items ptes.ofertar ",IF(AND($G$18&gt;0,$H$37&gt;0,(N47)/(N47)=1),"ok","mal"))),"¿max.min.ofertado?")</f>
        <v>¿max.min.ofertado?</v>
      </c>
      <c r="N47" s="183" t="str">
        <f>+IF(OR($G$18=0,LEN($G$18)=0),"",IF(OR($G$18&lt;0,+$G$18/$G$18&lt;&gt;1),"Total oferta Lote incorrecto (no numérico o negativo)",IF(AND($G$18&gt;0,$H$37&gt;0,H47&lt;=0),"¿importe ofertado?",IF(AND($G$18&gt;0,$H$37&lt;0),"acum.of.oferta sede &gt;oferta lote",IF(AND($G$18&gt;0,$H$37&gt;0,H47&lt;VLOOKUP(B47,'% admitidos'!A:M,11,FALSE)),+"min."&amp;VLOOKUP(B47,'% admitidos'!A:M,11,FALSE),IF(AND($G$18&gt;0,$H$37&gt;0,H47&gt;VLOOKUP(B47,'% admitidos'!A:M,13,FALSE)),+"max."&amp;VLOOKUP(B47,'% admitidos'!A:M,13,FALSE),+H47))))))</f>
        <v/>
      </c>
    </row>
    <row r="48" spans="1:23" ht="12" customHeight="1" thickBot="1" x14ac:dyDescent="0.3">
      <c r="A48" s="147" t="s">
        <v>542</v>
      </c>
      <c r="B48" s="152" t="s">
        <v>390</v>
      </c>
      <c r="C48" s="254" t="str">
        <f>+IF(LEN('Anx I pg 1 oferta'!$C$56)&gt;0,"","min. "&amp;VLOOKUP(B47,'% admitidos'!A:M,11,FALSE)&amp;" - med.  "&amp;VLOOKUP(B47,'% admitidos'!A:M,12,FALSE)&amp;" - max.  "&amp;+ROUND(VLOOKUP(B47,'% admitidos'!A:M,13,FALSE),6))</f>
        <v>min. 0 - med.  0 - max.  0</v>
      </c>
      <c r="D48" s="54"/>
      <c r="E48" s="54"/>
      <c r="F48" s="54"/>
      <c r="G48" s="54"/>
      <c r="H48" s="55"/>
      <c r="J48" s="107"/>
      <c r="K48" s="107"/>
      <c r="L48" s="107"/>
      <c r="M48" s="279"/>
      <c r="N48" s="107"/>
    </row>
    <row r="49" spans="1:23" ht="21.95" customHeight="1" thickBot="1" x14ac:dyDescent="0.3">
      <c r="A49" s="147" t="str">
        <f>+'Anx I pg 1 oferta'!$B$18&amp;"T2_L07_inst_"&amp;B49</f>
        <v>T2_L07_inst_L07-11</v>
      </c>
      <c r="B49" s="176" t="s">
        <v>299</v>
      </c>
      <c r="C49" s="177" t="str">
        <f>+VLOOKUP(B49,'DATOS CENTROS'!B:F,4,FALSE)</f>
        <v>C.E. OM REUS</v>
      </c>
      <c r="D49" s="178"/>
      <c r="E49" s="179" t="str">
        <f>+VLOOKUP(B49,'DATOS CENTROS'!B:F,3,FALSE)</f>
        <v xml:space="preserve"> A + C</v>
      </c>
      <c r="F49" s="180">
        <f>+VLOOKUP(B49,'DATOS CENTROS'!B:F,5,FALSE)</f>
        <v>4.2000000000000003E-2</v>
      </c>
      <c r="G49" s="181" t="str">
        <f>+IF(OR($G$18=0,LEN($G$18)=0),"",+ROUND(((H49)/$G$18),6))</f>
        <v/>
      </c>
      <c r="H49" s="217"/>
      <c r="J49" s="183"/>
      <c r="K49" s="183"/>
      <c r="L49" s="183"/>
      <c r="M49" s="277" t="str">
        <f>+IFERROR(IF(N49&lt;&gt;TRUNC(N49,2),".+ de 2 decim.",IF(COUNTA($H$29:$H$64)&lt;16,16-COUNTA($H$29:$H$64)&amp;" Items ptes.ofertar ",IF(AND($G$18&gt;0,$H$37&gt;0,(N49)/(N49)=1),"ok","mal"))),"¿max.min.ofertado?")</f>
        <v>¿max.min.ofertado?</v>
      </c>
      <c r="N49" s="183" t="str">
        <f>+IF(OR($G$18=0,LEN($G$18)=0),"",IF(OR($G$18&lt;0,+$G$18/$G$18&lt;&gt;1),"Total oferta Lote incorrecto (no numérico o negativo)",IF(AND($G$18&gt;0,$H$37&gt;0,H49&lt;=0),"¿importe ofertado?",IF(AND($G$18&gt;0,$H$37&lt;0),"acum.of.oferta sede &gt;oferta lote",IF(AND($G$18&gt;0,$H$37&lt;&gt;0,H49&lt;VLOOKUP(B49,'% admitidos'!A:M,11,FALSE)),+"min."&amp;VLOOKUP(B49,'% admitidos'!A:M,11,FALSE),IF(AND($G$18&gt;0,$H$37&gt;0,H49&gt;VLOOKUP(B49,'% admitidos'!A:M,13,FALSE)),+"max."&amp;VLOOKUP(B49,'% admitidos'!A:M,13,FALSE),+H49))))))</f>
        <v/>
      </c>
      <c r="Q49" s="101"/>
      <c r="R49" s="101"/>
      <c r="S49" s="101"/>
      <c r="T49" s="101"/>
      <c r="U49" s="101"/>
      <c r="V49" s="101"/>
      <c r="W49" s="101"/>
    </row>
    <row r="50" spans="1:23" ht="12" customHeight="1" thickBot="1" x14ac:dyDescent="0.3">
      <c r="A50" s="147" t="s">
        <v>542</v>
      </c>
      <c r="B50" s="236" t="s">
        <v>390</v>
      </c>
      <c r="C50" s="240" t="str">
        <f>+IF(LEN('Anx I pg 1 oferta'!$C$56)&gt;0,"","min. "&amp;VLOOKUP(B49,'% admitidos'!A:M,11,FALSE)&amp;" - med.  "&amp;VLOOKUP(B49,'% admitidos'!A:M,12,FALSE)&amp;" - max.  "&amp;VLOOKUP(B49,'% admitidos'!A:M,13,FALSE))</f>
        <v>min. 0 - med.  0 - max.  0</v>
      </c>
      <c r="D50" s="61"/>
      <c r="E50" s="61"/>
      <c r="F50" s="67"/>
      <c r="G50" s="68"/>
      <c r="H50" s="123"/>
      <c r="J50" s="126"/>
      <c r="K50" s="126"/>
      <c r="L50" s="126"/>
      <c r="M50" s="279"/>
      <c r="N50" s="126"/>
    </row>
    <row r="51" spans="1:23" ht="21.95" customHeight="1" thickBot="1" x14ac:dyDescent="0.3">
      <c r="A51" s="147" t="str">
        <f>+'Anx I pg 1 oferta'!$B$18&amp;"T2_L07_inst_"&amp;B51</f>
        <v>T2_L07_inst_L07-12</v>
      </c>
      <c r="B51" s="176" t="s">
        <v>301</v>
      </c>
      <c r="C51" s="177" t="str">
        <f>+VLOOKUP(B51,'DATOS CENTROS'!B:F,4,FALSE)</f>
        <v>S.U Girona (Xavier Cugat)</v>
      </c>
      <c r="D51" s="178"/>
      <c r="E51" s="179" t="str">
        <f>+VLOOKUP(B51,'DATOS CENTROS'!B:F,3,FALSE)</f>
        <v>C</v>
      </c>
      <c r="F51" s="180">
        <f>+VLOOKUP(B51,'DATOS CENTROS'!B:F,5,FALSE)</f>
        <v>0.01</v>
      </c>
      <c r="G51" s="181" t="str">
        <f>+IF(OR($G$18=0,LEN($G$18)=0),"",+ROUND(((H51)/$G$18),6))</f>
        <v/>
      </c>
      <c r="H51" s="217"/>
      <c r="J51" s="183"/>
      <c r="K51" s="183"/>
      <c r="L51" s="183"/>
      <c r="M51" s="277" t="str">
        <f>+IFERROR(IF(N51&lt;&gt;TRUNC(N51,2),".+ de 2 decim.",IF(COUNTA($H$29:$H$64)&lt;16,16-COUNTA($H$29:$H$64)&amp;" Items ptes.ofertar ",IF(AND($G$18&gt;0,$H$37&gt;0,(N51)/(N51)=1),"ok","mal"))),"¿max.min.ofertado?")</f>
        <v>¿max.min.ofertado?</v>
      </c>
      <c r="N51" s="183" t="str">
        <f>+IF(OR($G$18=0,LEN($G$18)=0),"",IF(OR($G$18&lt;0,+$G$18/$G$18&lt;&gt;1),"Total oferta Lote incorrecto (no numérico o negativo)",IF(AND($G$18&gt;0,$H$37&gt;0,H51&lt;=0),"¿importe ofertado?",IF(AND($G$18&gt;0,$H$37&lt;0),"acum.of.oferta sede &gt;oferta lote",IF(AND($G$18&gt;0,$H$37&gt;0,H51&lt;VLOOKUP(B51,'% admitidos'!A:M,11,FALSE)),+"min."&amp;VLOOKUP(B51,'% admitidos'!A:M,11,FALSE),IF(AND($G$18&gt;0,$H$37&gt;0,H51&gt;VLOOKUP(B51,'% admitidos'!A:M,13,FALSE)),+"max."&amp;VLOOKUP(B51,'% admitidos'!A:M,13,FALSE),+H51))))))</f>
        <v/>
      </c>
    </row>
    <row r="52" spans="1:23" ht="12" customHeight="1" thickTop="1" thickBot="1" x14ac:dyDescent="0.3">
      <c r="A52" s="147" t="s">
        <v>542</v>
      </c>
      <c r="B52" s="237" t="s">
        <v>390</v>
      </c>
      <c r="C52" s="248" t="str">
        <f>+IF(LEN('Anx I pg 1 oferta'!$C$56)&gt;0,"","min. "&amp;VLOOKUP(B51,'% admitidos'!A:M,11,FALSE)&amp;" - med.  "&amp;VLOOKUP(B51,'% admitidos'!A:M,12,FALSE)&amp;" - max.  "&amp;VLOOKUP(B51,'% admitidos'!A:M,13,FALSE))</f>
        <v>min. 0 - med.  0 - max.  0</v>
      </c>
      <c r="D52" s="135"/>
      <c r="E52" s="135"/>
      <c r="F52" s="136"/>
      <c r="G52" s="137"/>
      <c r="H52" s="138"/>
      <c r="J52" s="126"/>
      <c r="K52" s="126"/>
      <c r="L52" s="126"/>
      <c r="M52" s="279"/>
      <c r="N52" s="126"/>
    </row>
    <row r="53" spans="1:23" ht="21.95" customHeight="1" thickBot="1" x14ac:dyDescent="0.3">
      <c r="A53" s="147" t="str">
        <f>+'Anx I pg 1 oferta'!$B$18&amp;"T2_L07_inst_"&amp;B53</f>
        <v>T2_L07_inst_L07-13</v>
      </c>
      <c r="B53" s="176" t="s">
        <v>303</v>
      </c>
      <c r="C53" s="177" t="str">
        <f>+VLOOKUP(B53,'DATOS CENTROS'!B:F,4,FALSE)</f>
        <v>U.I. RTVE Girona</v>
      </c>
      <c r="D53" s="178"/>
      <c r="E53" s="179" t="str">
        <f>+VLOOKUP(B53,'DATOS CENTROS'!B:F,3,FALSE)</f>
        <v>C</v>
      </c>
      <c r="F53" s="180">
        <f>+VLOOKUP(B53,'DATOS CENTROS'!B:F,5,FALSE)</f>
        <v>1.2E-2</v>
      </c>
      <c r="G53" s="181" t="str">
        <f>+IF(OR($G$18=0,LEN($G$18)=0),"",+ROUND(((H53)/$G$18),6))</f>
        <v/>
      </c>
      <c r="H53" s="217"/>
      <c r="J53" s="183"/>
      <c r="K53" s="183"/>
      <c r="L53" s="183"/>
      <c r="M53" s="277" t="str">
        <f>+IFERROR(IF(N53&lt;&gt;TRUNC(N53,2),".+ de 2 decim.",IF(COUNTA($H$29:$H$64)&lt;16,16-COUNTA($H$29:$H$64)&amp;" Items ptes.ofertar ",IF(AND($G$18&gt;0,$H$37&gt;0,(N53)/(N53)=1),"ok","mal"))),"¿max.min.ofertado?")</f>
        <v>¿max.min.ofertado?</v>
      </c>
      <c r="N53" s="183" t="str">
        <f>+IF(OR($G$18=0,LEN($G$18)=0),"",IF(OR($G$18&lt;0,+$G$18/$G$18&lt;&gt;1),"Total oferta Lote incorrecto (no numérico o negativo)",IF(AND($G$18&gt;0,$H$37&gt;0,H53&lt;=0),"¿importe ofertado?",IF(AND($G$18&gt;0,$H$37&lt;0),"acum.of.oferta sede &gt;oferta lote",IF(AND($G$18&gt;0,$H$37&gt;0,H53&lt;VLOOKUP(B53,'% admitidos'!A:M,11,FALSE)),+"min."&amp;VLOOKUP(B53,'% admitidos'!A:M,11,FALSE),IF(AND($G$18&gt;0,$H$37&gt;0,H53&gt;VLOOKUP(B53,'% admitidos'!A:M,13,FALSE)),+"max."&amp;VLOOKUP(B53,'% admitidos'!A:M,13,FALSE),+H53))))))</f>
        <v/>
      </c>
    </row>
    <row r="54" spans="1:23" ht="12" customHeight="1" thickBot="1" x14ac:dyDescent="0.3">
      <c r="A54" s="147" t="s">
        <v>542</v>
      </c>
      <c r="B54" s="236" t="s">
        <v>390</v>
      </c>
      <c r="C54" s="240" t="str">
        <f>+IF(LEN('Anx I pg 1 oferta'!$C$56)&gt;0,"","min. "&amp;VLOOKUP(B53,'% admitidos'!A:M,11,FALSE)&amp;" - med.  "&amp;VLOOKUP(B53,'% admitidos'!A:M,12,FALSE)&amp;" - max.  "&amp;VLOOKUP(B53,'% admitidos'!A:M,13,FALSE))</f>
        <v>min. 0 - med.  0 - max.  0</v>
      </c>
      <c r="D54" s="61"/>
      <c r="E54" s="61"/>
      <c r="F54" s="67"/>
      <c r="G54" s="67"/>
      <c r="H54" s="123"/>
      <c r="J54" s="126"/>
      <c r="K54" s="126"/>
      <c r="L54" s="126"/>
      <c r="M54" s="279"/>
      <c r="N54" s="126"/>
    </row>
    <row r="55" spans="1:23" ht="21.95" customHeight="1" thickBot="1" x14ac:dyDescent="0.3">
      <c r="A55" s="147" t="str">
        <f>+'Anx I pg 1 oferta'!$B$18&amp;"T2_L07_inst_"&amp;B55</f>
        <v>T2_L07_inst_L07-14</v>
      </c>
      <c r="B55" s="186" t="s">
        <v>305</v>
      </c>
      <c r="C55" s="187" t="str">
        <f>+VLOOKUP(B55,'DATOS CENTROS'!B:F,4,FALSE)</f>
        <v>S.U. Seu d´Urgell</v>
      </c>
      <c r="D55" s="188"/>
      <c r="E55" s="189" t="str">
        <f>+VLOOKUP(B55,'DATOS CENTROS'!B:F,3,FALSE)</f>
        <v>C</v>
      </c>
      <c r="F55" s="220">
        <f>+VLOOKUP(B55,'DATOS CENTROS'!B:F,5,FALSE)</f>
        <v>0.01</v>
      </c>
      <c r="G55" s="190" t="str">
        <f>+IF(OR($G$18=0,LEN($G$18)=0),"",+ROUND(((H55)/$G$18),6))</f>
        <v/>
      </c>
      <c r="H55" s="218"/>
      <c r="J55" s="183"/>
      <c r="K55" s="183"/>
      <c r="L55" s="183"/>
      <c r="M55" s="277" t="str">
        <f>+IFERROR(IF(N55&lt;&gt;TRUNC(N55,2),".+ de 2 decim.",IF(COUNTA($H$29:$H$64)&lt;16,16-COUNTA($H$29:$H$64)&amp;" Items ptes.ofertar ",IF(AND($G$18&gt;0,$H$37&gt;0,(N55)/(N55)=1),"ok","mal"))),"¿max.min.ofertado?")</f>
        <v>¿max.min.ofertado?</v>
      </c>
      <c r="N55" s="183" t="str">
        <f>+IF(OR($G$18=0,LEN($G$18)=0),"",IF(OR($G$18&lt;0,+$G$18/$G$18&lt;&gt;1),"Total oferta Lote incorrecto (no numérico o negativo)",IF(AND($G$18&gt;0,$H$37&gt;0,H55&lt;=0),"¿importe ofertado?",IF(AND($G$18&gt;0,$H$37&lt;0),"acum.of.oferta sede &gt;oferta lote",IF(AND($G$18&gt;0,$H$37&gt;0,H55&lt;VLOOKUP(B55,'% admitidos'!A:M,11,FALSE)),+"min."&amp;VLOOKUP(B55,'% admitidos'!A:M,11,FALSE),IF(AND($G$18&gt;0,$H$37&gt;0,H55&gt;VLOOKUP(B55,'% admitidos'!A:M,13,FALSE)),+"max."&amp;VLOOKUP(B55,'% admitidos'!A:M,13,FALSE),+H55))))))</f>
        <v/>
      </c>
    </row>
    <row r="56" spans="1:23" ht="12" customHeight="1" thickTop="1" thickBot="1" x14ac:dyDescent="0.3">
      <c r="A56" s="147" t="s">
        <v>542</v>
      </c>
      <c r="B56" s="152" t="s">
        <v>390</v>
      </c>
      <c r="C56" s="254" t="str">
        <f>+IF(LEN('Anx I pg 1 oferta'!$C$56)&gt;0,"","min. "&amp;VLOOKUP(B55,'% admitidos'!A:M,11,FALSE)&amp;" - med.  "&amp;VLOOKUP(B55,'% admitidos'!A:M,12,FALSE)&amp;" - max.  "&amp;VLOOKUP(B55,'% admitidos'!A:M,13,FALSE))</f>
        <v>min. 0 - med.  0 - max.  0</v>
      </c>
      <c r="D56" s="54"/>
      <c r="E56" s="54"/>
      <c r="F56" s="69"/>
      <c r="G56" s="69"/>
      <c r="H56" s="71"/>
      <c r="J56" s="126"/>
      <c r="K56" s="126"/>
      <c r="L56" s="126"/>
      <c r="M56" s="279"/>
      <c r="N56" s="126"/>
    </row>
    <row r="57" spans="1:23" ht="21.95" customHeight="1" thickBot="1" x14ac:dyDescent="0.3">
      <c r="A57" s="147" t="str">
        <f>+'Anx I pg 1 oferta'!$B$18&amp;"T2_L07_inst_"&amp;B57</f>
        <v>T2_L07_inst_L07-15</v>
      </c>
      <c r="B57" s="176" t="s">
        <v>307</v>
      </c>
      <c r="C57" s="177" t="str">
        <f>+VLOOKUP(B57,'DATOS CENTROS'!B:F,4,FALSE)</f>
        <v>U.I. RTVE Lleida</v>
      </c>
      <c r="D57" s="178"/>
      <c r="E57" s="179" t="str">
        <f>+VLOOKUP(B57,'DATOS CENTROS'!B:F,3,FALSE)</f>
        <v>C</v>
      </c>
      <c r="F57" s="180">
        <f>+VLOOKUP(B57,'DATOS CENTROS'!B:F,5,FALSE)</f>
        <v>1.7999999999999999E-2</v>
      </c>
      <c r="G57" s="181" t="str">
        <f>+IF(OR($G$18=0,LEN($G$18)=0),"",+ROUND(((H57)/$G$18),6))</f>
        <v/>
      </c>
      <c r="H57" s="217"/>
      <c r="J57" s="183"/>
      <c r="K57" s="183"/>
      <c r="L57" s="183"/>
      <c r="M57" s="277" t="str">
        <f>+IFERROR(IF(N57&lt;&gt;TRUNC(N57,2),".+ de 2 decim.",IF(COUNTA($H$29:$H$64)&lt;16,16-COUNTA($H$29:$H$64)&amp;" Items ptes.ofertar ",IF(AND($G$18&gt;0,$H$37&gt;0,(N57)/(N57)=1),"ok","mal"))),"¿max.min.ofertado?")</f>
        <v>¿max.min.ofertado?</v>
      </c>
      <c r="N57" s="183" t="str">
        <f>+IF(OR($G$18=0,LEN($G$18)=0),"",IF(OR($G$18&lt;0,+$G$18/$G$18&lt;&gt;1),"Total oferta Lote incorrecto (no numérico o negativo)",IF(AND($G$18&gt;0,$H$37&gt;0,H57&lt;=0),"¿importe ofertado?",IF(AND($G$18&gt;0,$H$37&lt;0),"acum.of.oferta sede &gt;oferta lote",IF(AND($G$18&gt;0,$H$37&gt;0,H57&lt;VLOOKUP(B57,'% admitidos'!A:M,11,FALSE)),+"min."&amp;VLOOKUP(B57,'% admitidos'!A:M,11,FALSE),IF(AND($G$18&gt;0,$H$37&gt;0,H57&gt;VLOOKUP(B57,'% admitidos'!A:M,13,FALSE)),+"max."&amp;+ROUND(VLOOKUP(B57,'% admitidos'!A:M,13,FALSE),4),+H57))))))</f>
        <v/>
      </c>
    </row>
    <row r="58" spans="1:23" ht="12" customHeight="1" thickTop="1" thickBot="1" x14ac:dyDescent="0.3">
      <c r="A58" s="147" t="s">
        <v>542</v>
      </c>
      <c r="B58" s="237" t="s">
        <v>390</v>
      </c>
      <c r="C58" s="248" t="str">
        <f>+IF(LEN('Anx I pg 1 oferta'!$C$56)&gt;0,"","min. "&amp;VLOOKUP(B57,'% admitidos'!A:M,11,FALSE)&amp;" - med.  "&amp;VLOOKUP(B57,'% admitidos'!A:M,12,FALSE)&amp;" - max.  "&amp;+ROUND(VLOOKUP(B57,'% admitidos'!A:M,13,FALSE),6))</f>
        <v>min. 0 - med.  0 - max.  0</v>
      </c>
      <c r="D58" s="135"/>
      <c r="E58" s="135"/>
      <c r="F58" s="135"/>
      <c r="G58" s="135"/>
      <c r="H58" s="144"/>
      <c r="J58" s="107"/>
      <c r="K58" s="107"/>
      <c r="L58" s="107"/>
      <c r="M58" s="279"/>
      <c r="N58" s="107"/>
    </row>
    <row r="59" spans="1:23" ht="21.95" customHeight="1" thickBot="1" x14ac:dyDescent="0.3">
      <c r="A59" s="147" t="str">
        <f>+'Anx I pg 1 oferta'!$B$18&amp;"T2_L07_inst_"&amp;B59</f>
        <v>T2_L07_inst_L07-16</v>
      </c>
      <c r="B59" s="176" t="s">
        <v>309</v>
      </c>
      <c r="C59" s="177" t="str">
        <f>+VLOOKUP(B59,'DATOS CENTROS'!B:F,4,FALSE)</f>
        <v>U.I. TVE Tarragona</v>
      </c>
      <c r="D59" s="178"/>
      <c r="E59" s="179" t="str">
        <f>+VLOOKUP(B59,'DATOS CENTROS'!B:F,3,FALSE)</f>
        <v>C</v>
      </c>
      <c r="F59" s="180">
        <f>+VLOOKUP(B59,'DATOS CENTROS'!B:F,5,FALSE)</f>
        <v>0.01</v>
      </c>
      <c r="G59" s="181" t="str">
        <f>+IF(OR($G$18=0,LEN($G$18)=0),"",+ROUND(((H59)/$G$18),6))</f>
        <v/>
      </c>
      <c r="H59" s="217"/>
      <c r="J59" s="183"/>
      <c r="K59" s="183"/>
      <c r="L59" s="183"/>
      <c r="M59" s="277" t="str">
        <f>+IFERROR(IF(N59&lt;&gt;TRUNC(N59,2),".+ de 2 decim.",IF(COUNTA($H$29:$H$64)&lt;16,16-COUNTA($H$29:$H$64)&amp;" Items ptes.ofertar ",IF(AND($G$18&gt;0,$H$37&gt;0,(N59)/(N59)=1),"ok","mal"))),"¿max.min.ofertado?")</f>
        <v>¿max.min.ofertado?</v>
      </c>
      <c r="N59" s="183" t="str">
        <f>+IF(OR($G$18=0,LEN($G$18)=0),"",IF(OR($G$18&lt;0,+$G$18/$G$18&lt;&gt;1),"Total oferta Lote incorrecto (no numérico o negativo)",IF(AND($G$18&gt;0,$H$37&gt;0,H59&lt;=0),"¿importe ofertado?",IF(AND($G$18&gt;0,$H$37&lt;0),"acum.of.oferta sede &gt;oferta lote",IF(AND($G$18&gt;0,$H$37&lt;&gt;0,H59&lt;VLOOKUP(B59,'% admitidos'!A:M,11,FALSE)),+"min."&amp;VLOOKUP(B59,'% admitidos'!A:M,11,FALSE),IF(AND($G$18&gt;0,$H$37&gt;0,H59&gt;VLOOKUP(B59,'% admitidos'!A:M,13,FALSE)),+"max."&amp;VLOOKUP(B59,'% admitidos'!A:M,13,FALSE),+H59))))))</f>
        <v/>
      </c>
      <c r="Q59" s="101"/>
      <c r="R59" s="101"/>
      <c r="S59" s="101"/>
      <c r="T59" s="101"/>
      <c r="U59" s="101"/>
      <c r="V59" s="101"/>
      <c r="W59" s="101"/>
    </row>
    <row r="60" spans="1:23" ht="12" customHeight="1" thickBot="1" x14ac:dyDescent="0.3">
      <c r="A60" s="147" t="s">
        <v>542</v>
      </c>
      <c r="B60" s="236" t="s">
        <v>390</v>
      </c>
      <c r="C60" s="240" t="str">
        <f>+IF(LEN('Anx I pg 1 oferta'!$C$56)&gt;0,"","min. "&amp;VLOOKUP(B59,'% admitidos'!A:M,11,FALSE)&amp;" - med.  "&amp;VLOOKUP(B59,'% admitidos'!A:M,12,FALSE)&amp;" - max.  "&amp;VLOOKUP(B59,'% admitidos'!A:M,13,FALSE))</f>
        <v>min. 0 - med.  0 - max.  0</v>
      </c>
      <c r="D60" s="61"/>
      <c r="E60" s="61"/>
      <c r="F60" s="67"/>
      <c r="G60" s="68"/>
      <c r="H60" s="123"/>
      <c r="J60" s="126"/>
      <c r="K60" s="126"/>
      <c r="L60" s="126"/>
      <c r="M60" s="87"/>
      <c r="N60" s="126"/>
    </row>
    <row r="61" spans="1:23" ht="30" hidden="1" customHeight="1" thickBot="1" x14ac:dyDescent="0.3">
      <c r="A61" s="147" t="s">
        <v>544</v>
      </c>
      <c r="B61" s="224" t="s">
        <v>390</v>
      </c>
      <c r="C61" s="187"/>
      <c r="D61" s="188"/>
      <c r="E61" s="189"/>
      <c r="F61" s="220"/>
      <c r="G61" s="190"/>
      <c r="H61" s="185"/>
      <c r="J61" s="183"/>
      <c r="K61" s="183"/>
      <c r="L61" s="183"/>
      <c r="M61" s="184"/>
      <c r="N61" s="183"/>
    </row>
    <row r="62" spans="1:23" ht="16.5" hidden="1" thickTop="1" thickBot="1" x14ac:dyDescent="0.3">
      <c r="A62" s="147" t="s">
        <v>544</v>
      </c>
      <c r="B62" s="152" t="s">
        <v>390</v>
      </c>
      <c r="C62" s="53"/>
      <c r="D62" s="54"/>
      <c r="E62" s="54"/>
      <c r="F62" s="69"/>
      <c r="G62" s="70"/>
      <c r="H62" s="124"/>
      <c r="J62" s="126"/>
      <c r="K62" s="126"/>
      <c r="L62" s="126"/>
      <c r="M62" s="87"/>
      <c r="N62" s="126"/>
    </row>
    <row r="63" spans="1:23" ht="30" hidden="1" customHeight="1" thickBot="1" x14ac:dyDescent="0.3">
      <c r="A63" s="147" t="s">
        <v>544</v>
      </c>
      <c r="B63" s="224" t="s">
        <v>390</v>
      </c>
      <c r="C63" s="177"/>
      <c r="D63" s="178"/>
      <c r="E63" s="179"/>
      <c r="F63" s="180"/>
      <c r="G63" s="181"/>
      <c r="H63" s="182"/>
      <c r="J63" s="183"/>
      <c r="K63" s="183"/>
      <c r="L63" s="183"/>
      <c r="M63" s="184"/>
      <c r="N63" s="183"/>
    </row>
    <row r="64" spans="1:23" ht="16.5" hidden="1" thickTop="1" thickBot="1" x14ac:dyDescent="0.3">
      <c r="A64" s="147" t="s">
        <v>544</v>
      </c>
      <c r="B64" s="236" t="s">
        <v>390</v>
      </c>
      <c r="C64" s="60"/>
      <c r="D64" s="61"/>
      <c r="E64" s="61"/>
      <c r="F64" s="67"/>
      <c r="G64" s="67"/>
      <c r="H64" s="123"/>
      <c r="J64" s="87"/>
      <c r="N64" s="126"/>
    </row>
    <row r="65" spans="1:16" x14ac:dyDescent="0.25">
      <c r="A65" s="147" t="str">
        <f>+'Anx I pg 1 oferta'!$B$18&amp;"T2_L07_TOT"</f>
        <v>T2_L07_TOT</v>
      </c>
      <c r="B65" s="122"/>
      <c r="C65" s="122"/>
      <c r="D65" s="122"/>
      <c r="E65" s="122"/>
      <c r="F65" s="285">
        <f>SUM(F29:F64)</f>
        <v>1</v>
      </c>
      <c r="G65" s="286">
        <f>SUM(G29:G64)</f>
        <v>0</v>
      </c>
      <c r="H65" s="287">
        <f>SUM(H29:H64)</f>
        <v>0</v>
      </c>
      <c r="I65" s="15"/>
    </row>
    <row r="66" spans="1:16" x14ac:dyDescent="0.25">
      <c r="A66" s="147" t="s">
        <v>544</v>
      </c>
    </row>
    <row r="67" spans="1:16" x14ac:dyDescent="0.25">
      <c r="A67" s="147" t="s">
        <v>544</v>
      </c>
      <c r="M67" s="82"/>
      <c r="P67" s="82"/>
    </row>
    <row r="68" spans="1:16" x14ac:dyDescent="0.25">
      <c r="A68" s="147" t="s">
        <v>544</v>
      </c>
    </row>
    <row r="69" spans="1:16" ht="30" customHeight="1" x14ac:dyDescent="0.25">
      <c r="A69" s="147" t="s">
        <v>544</v>
      </c>
      <c r="B69" s="226" t="s">
        <v>530</v>
      </c>
    </row>
    <row r="70" spans="1:16" x14ac:dyDescent="0.25">
      <c r="A70" s="147" t="s">
        <v>544</v>
      </c>
    </row>
    <row r="71" spans="1:16" x14ac:dyDescent="0.25">
      <c r="A71" s="147" t="s">
        <v>544</v>
      </c>
      <c r="B71" s="2" t="s">
        <v>535</v>
      </c>
    </row>
    <row r="72" spans="1:16" ht="15.75" thickBot="1" x14ac:dyDescent="0.3">
      <c r="A72" s="147" t="s">
        <v>544</v>
      </c>
      <c r="B72" s="2" t="str">
        <f>+$B$11</f>
        <v>Lote  7 : Comunidad Autónoma de Cataluña.</v>
      </c>
    </row>
    <row r="73" spans="1:16" ht="30" customHeight="1" thickBot="1" x14ac:dyDescent="0.3">
      <c r="A73" s="147" t="str">
        <f>+'Anx I pg 1 oferta'!$B$18&amp;"T3_L07_cab0a"</f>
        <v>T3_L07_cab0a</v>
      </c>
      <c r="B73" s="200" t="s">
        <v>59</v>
      </c>
      <c r="C73" s="200" t="s">
        <v>379</v>
      </c>
      <c r="D73" s="200" t="s">
        <v>60</v>
      </c>
      <c r="E73" s="200" t="s">
        <v>359</v>
      </c>
      <c r="F73" s="201" t="s">
        <v>378</v>
      </c>
      <c r="G73" s="105" t="s">
        <v>533</v>
      </c>
      <c r="H73" s="103" t="s">
        <v>360</v>
      </c>
      <c r="I73" s="103" t="s">
        <v>361</v>
      </c>
      <c r="J73" s="106" t="s">
        <v>380</v>
      </c>
      <c r="K73" s="274" t="s">
        <v>490</v>
      </c>
      <c r="L73" s="202"/>
    </row>
    <row r="74" spans="1:16" ht="15.75" thickBot="1" x14ac:dyDescent="0.3">
      <c r="A74" s="147" t="str">
        <f>+'Anx I pg 1 oferta'!$B$18&amp;"T3_L07_cab0b"</f>
        <v>T3_L07_cab0b</v>
      </c>
      <c r="B74" s="203" t="str">
        <f>+B27</f>
        <v>LOTE-07</v>
      </c>
      <c r="C74" s="204" t="str">
        <f>+C27</f>
        <v>(plazo de 2 meses)</v>
      </c>
      <c r="D74" s="205"/>
      <c r="E74" s="206"/>
      <c r="F74" s="207">
        <v>1</v>
      </c>
      <c r="G74" s="208"/>
      <c r="H74" s="205"/>
      <c r="I74" s="205"/>
      <c r="J74" s="205"/>
      <c r="K74" s="206"/>
      <c r="L74" s="202"/>
    </row>
    <row r="75" spans="1:16" ht="15.75" thickBot="1" x14ac:dyDescent="0.3">
      <c r="A75" s="147" t="str">
        <f>+'Anx I pg 1 oferta'!$B$18&amp;"T3_L07_cab1(CA)"</f>
        <v>T3_L07_cab1(CA)</v>
      </c>
      <c r="B75" s="209" t="s">
        <v>390</v>
      </c>
      <c r="C75" s="210" t="str">
        <f>+C28</f>
        <v>CATALUÑA</v>
      </c>
      <c r="D75" s="211"/>
      <c r="E75" s="211"/>
      <c r="F75" s="211"/>
      <c r="G75" s="211"/>
      <c r="H75" s="211"/>
      <c r="I75" s="211"/>
      <c r="J75" s="211"/>
      <c r="K75" s="212">
        <f>+G18</f>
        <v>0</v>
      </c>
      <c r="L75" s="202"/>
    </row>
    <row r="76" spans="1:16" ht="15.75" thickBot="1" x14ac:dyDescent="0.3">
      <c r="A76" s="147" t="str">
        <f>+'Anx I pg 1 oferta'!$B$18&amp;"T3_L07_inst_"&amp;B76&amp;"DA1"</f>
        <v>T3_L07_inst_L07-01DA1</v>
      </c>
      <c r="B76" s="348" t="s">
        <v>279</v>
      </c>
      <c r="C76" s="351" t="str">
        <f>+VLOOKUP(B76,'DATOS CENTROS'!B:E,2,FALSE)</f>
        <v>C/Roc Boronat, 129-131</v>
      </c>
      <c r="D76" s="354" t="str">
        <f>+VLOOKUP(B76,'DATOS CENTROS'!B:E,3,FALSE)</f>
        <v xml:space="preserve"> A + C</v>
      </c>
      <c r="E76" s="357" t="str">
        <f>+VLOOKUP(B76,'DATOS CENTROS'!B:E,4,FALSE)</f>
        <v>C.T. RNE BARCELONA</v>
      </c>
      <c r="F76" s="360">
        <f>+VLOOKUP(B76,'DATOS CENTROS'!B:F,5,FALSE)</f>
        <v>7.3999999999999996E-2</v>
      </c>
      <c r="G76" s="342" t="str">
        <f>+IF(G29&gt;0,G29,"")</f>
        <v/>
      </c>
      <c r="H76" s="213" t="s">
        <v>25</v>
      </c>
      <c r="I76" s="214">
        <v>0.15</v>
      </c>
      <c r="J76" s="215" t="e">
        <f>+IF($K$76&gt;0,+ROUND($K$76*I76,0),"")</f>
        <v>#VALUE!</v>
      </c>
      <c r="K76" s="345" t="str">
        <f>+IFERROR(IF(OR($G$18=0,LEN($G$18)=0),"",IF(AND(M29="ok",(H29/H29)=1),N29,"")),"¿?")</f>
        <v/>
      </c>
      <c r="L76" s="202"/>
    </row>
    <row r="77" spans="1:16" ht="15.75" thickBot="1" x14ac:dyDescent="0.3">
      <c r="A77" s="147" t="str">
        <f>+'Anx I pg 1 oferta'!$B$18&amp;"T3_L07_inst_"&amp;B76&amp;"DA2"</f>
        <v>T3_L07_inst_L07-01DA2</v>
      </c>
      <c r="B77" s="349"/>
      <c r="C77" s="352"/>
      <c r="D77" s="355"/>
      <c r="E77" s="358"/>
      <c r="F77" s="361"/>
      <c r="G77" s="343"/>
      <c r="H77" s="213" t="s">
        <v>26</v>
      </c>
      <c r="I77" s="214">
        <v>0.1</v>
      </c>
      <c r="J77" s="215" t="e">
        <f t="shared" ref="J77:J79" si="0">+IF($K$76&gt;0,+ROUND($K$76*I77,0),"")</f>
        <v>#VALUE!</v>
      </c>
      <c r="K77" s="346"/>
      <c r="L77" s="202"/>
    </row>
    <row r="78" spans="1:16" ht="15.75" thickBot="1" x14ac:dyDescent="0.3">
      <c r="A78" s="147" t="str">
        <f>+'Anx I pg 1 oferta'!$B$18&amp;"T3_L07_inst_"&amp;B76&amp;"DA3"</f>
        <v>T3_L07_inst_L07-01DA3</v>
      </c>
      <c r="B78" s="349"/>
      <c r="C78" s="352"/>
      <c r="D78" s="355"/>
      <c r="E78" s="358"/>
      <c r="F78" s="361"/>
      <c r="G78" s="343"/>
      <c r="H78" s="213" t="s">
        <v>27</v>
      </c>
      <c r="I78" s="214">
        <v>0.2</v>
      </c>
      <c r="J78" s="215" t="e">
        <f t="shared" si="0"/>
        <v>#VALUE!</v>
      </c>
      <c r="K78" s="346"/>
      <c r="L78" s="202"/>
    </row>
    <row r="79" spans="1:16" ht="15.75" thickBot="1" x14ac:dyDescent="0.3">
      <c r="A79" s="147" t="str">
        <f>+'Anx I pg 1 oferta'!$B$18&amp;"T3_L07_inst_"&amp;B76&amp;"DA4"</f>
        <v>T3_L07_inst_L07-01DA4</v>
      </c>
      <c r="B79" s="349"/>
      <c r="C79" s="352"/>
      <c r="D79" s="355"/>
      <c r="E79" s="358"/>
      <c r="F79" s="361"/>
      <c r="G79" s="343"/>
      <c r="H79" s="213" t="s">
        <v>57</v>
      </c>
      <c r="I79" s="214">
        <v>0.05</v>
      </c>
      <c r="J79" s="215" t="e">
        <f t="shared" si="0"/>
        <v>#VALUE!</v>
      </c>
      <c r="K79" s="346"/>
      <c r="L79" s="202"/>
    </row>
    <row r="80" spans="1:16" ht="15.75" thickBot="1" x14ac:dyDescent="0.3">
      <c r="A80" s="147" t="str">
        <f>+'Anx I pg 1 oferta'!$B$18&amp;"T3_L07_inst_"&amp;B76&amp;"DA5"</f>
        <v>T3_L07_inst_L07-01DA5</v>
      </c>
      <c r="B80" s="350"/>
      <c r="C80" s="353"/>
      <c r="D80" s="356"/>
      <c r="E80" s="359"/>
      <c r="F80" s="362"/>
      <c r="G80" s="344"/>
      <c r="H80" s="213" t="s">
        <v>364</v>
      </c>
      <c r="I80" s="214">
        <v>0.5</v>
      </c>
      <c r="J80" s="215" t="e">
        <f>+IF($K$76&gt;0,+$K$76-SUM(J76:J79),"")</f>
        <v>#VALUE!</v>
      </c>
      <c r="K80" s="347"/>
      <c r="L80" s="202"/>
    </row>
    <row r="81" spans="1:12" ht="15.75" customHeight="1" thickBot="1" x14ac:dyDescent="0.3">
      <c r="A81" s="147" t="str">
        <f>+'Anx I pg 1 oferta'!$B$18&amp;"T3_L07_inst_"&amp;B81&amp;"DA1"</f>
        <v>T3_L07_inst_L07-02DA1</v>
      </c>
      <c r="B81" s="348" t="s">
        <v>281</v>
      </c>
      <c r="C81" s="351" t="str">
        <f>+VLOOKUP(B81,'DATOS CENTROS'!B:E,2,FALSE)</f>
        <v>Palau de Plegaman</v>
      </c>
      <c r="D81" s="354" t="str">
        <f>+VLOOKUP(B81,'DATOS CENTROS'!B:E,3,FALSE)</f>
        <v xml:space="preserve"> A + C</v>
      </c>
      <c r="E81" s="357" t="str">
        <f>+VLOOKUP(B81,'DATOS CENTROS'!B:E,4,FALSE)</f>
        <v>C.E. OM PALAU DE PLEGAMANS</v>
      </c>
      <c r="F81" s="360">
        <f>+VLOOKUP(B81,'DATOS CENTROS'!B:F,5,FALSE)</f>
        <v>0.105</v>
      </c>
      <c r="G81" s="342" t="str">
        <f>+IF(G31&gt;0,G31,"")</f>
        <v/>
      </c>
      <c r="H81" s="213" t="s">
        <v>25</v>
      </c>
      <c r="I81" s="214">
        <v>0.15</v>
      </c>
      <c r="J81" s="215" t="e">
        <f>+IF($K$81&gt;0,+ROUND($K$81*I81,0),"")</f>
        <v>#VALUE!</v>
      </c>
      <c r="K81" s="345" t="str">
        <f>+IFERROR(IF(OR($G$18=0,LEN($G$18)=0),"",IF(AND(M31="ok",(H31/H31)=1),N31,"")),"¿?")</f>
        <v/>
      </c>
      <c r="L81" s="202"/>
    </row>
    <row r="82" spans="1:12" ht="15.75" thickBot="1" x14ac:dyDescent="0.3">
      <c r="A82" s="147" t="str">
        <f>+'Anx I pg 1 oferta'!$B$18&amp;"T3_L07_inst_"&amp;B81&amp;"DA2"</f>
        <v>T3_L07_inst_L07-02DA2</v>
      </c>
      <c r="B82" s="349"/>
      <c r="C82" s="352"/>
      <c r="D82" s="355"/>
      <c r="E82" s="358"/>
      <c r="F82" s="361"/>
      <c r="G82" s="343"/>
      <c r="H82" s="213" t="s">
        <v>26</v>
      </c>
      <c r="I82" s="214">
        <v>0.1</v>
      </c>
      <c r="J82" s="215" t="e">
        <f t="shared" ref="J82:J84" si="1">+IF($K$81&gt;0,+ROUND($K$81*I82,0),"")</f>
        <v>#VALUE!</v>
      </c>
      <c r="K82" s="346"/>
      <c r="L82" s="202"/>
    </row>
    <row r="83" spans="1:12" ht="15.75" thickBot="1" x14ac:dyDescent="0.3">
      <c r="A83" s="147" t="str">
        <f>+'Anx I pg 1 oferta'!$B$18&amp;"T3_L07_inst_"&amp;B81&amp;"DA3"</f>
        <v>T3_L07_inst_L07-02DA3</v>
      </c>
      <c r="B83" s="349"/>
      <c r="C83" s="352"/>
      <c r="D83" s="355"/>
      <c r="E83" s="358"/>
      <c r="F83" s="361"/>
      <c r="G83" s="343"/>
      <c r="H83" s="213" t="s">
        <v>27</v>
      </c>
      <c r="I83" s="214">
        <v>0.2</v>
      </c>
      <c r="J83" s="215" t="e">
        <f t="shared" si="1"/>
        <v>#VALUE!</v>
      </c>
      <c r="K83" s="346"/>
      <c r="L83" s="202"/>
    </row>
    <row r="84" spans="1:12" ht="15.75" thickBot="1" x14ac:dyDescent="0.3">
      <c r="A84" s="147" t="str">
        <f>+'Anx I pg 1 oferta'!$B$18&amp;"T3_L07_inst_"&amp;B81&amp;"DA4"</f>
        <v>T3_L07_inst_L07-02DA4</v>
      </c>
      <c r="B84" s="349"/>
      <c r="C84" s="352"/>
      <c r="D84" s="355"/>
      <c r="E84" s="358"/>
      <c r="F84" s="361"/>
      <c r="G84" s="343"/>
      <c r="H84" s="213" t="s">
        <v>57</v>
      </c>
      <c r="I84" s="214">
        <v>0.05</v>
      </c>
      <c r="J84" s="215" t="e">
        <f t="shared" si="1"/>
        <v>#VALUE!</v>
      </c>
      <c r="K84" s="346"/>
      <c r="L84" s="202"/>
    </row>
    <row r="85" spans="1:12" ht="15.75" thickBot="1" x14ac:dyDescent="0.3">
      <c r="A85" s="147" t="str">
        <f>+'Anx I pg 1 oferta'!$B$18&amp;"T3_L07_inst_"&amp;B81&amp;"DA5"</f>
        <v>T3_L07_inst_L07-02DA5</v>
      </c>
      <c r="B85" s="350"/>
      <c r="C85" s="353"/>
      <c r="D85" s="356"/>
      <c r="E85" s="359"/>
      <c r="F85" s="362"/>
      <c r="G85" s="344"/>
      <c r="H85" s="213" t="s">
        <v>364</v>
      </c>
      <c r="I85" s="214">
        <v>0.5</v>
      </c>
      <c r="J85" s="215" t="e">
        <f>+IF($K$81&gt;0,+$K$81-SUM(J81:J84),"")</f>
        <v>#VALUE!</v>
      </c>
      <c r="K85" s="347"/>
      <c r="L85" s="202"/>
    </row>
    <row r="86" spans="1:12" ht="15.75" thickBot="1" x14ac:dyDescent="0.3">
      <c r="A86" s="147" t="str">
        <f>+'Anx I pg 1 oferta'!$B$18&amp;"T3_L07_inst_"&amp;B86&amp;"DA1"</f>
        <v>T3_L07_inst_L07-03DA1</v>
      </c>
      <c r="B86" s="348" t="s">
        <v>283</v>
      </c>
      <c r="C86" s="351" t="str">
        <f>+VLOOKUP(B86,'DATOS CENTROS'!B:E,2,FALSE)</f>
        <v>Mercé Viralet, s/n</v>
      </c>
      <c r="D86" s="363" t="str">
        <f>+VLOOKUP(B86,'DATOS CENTROS'!B:E,3,FALSE)</f>
        <v xml:space="preserve"> A + C</v>
      </c>
      <c r="E86" s="357" t="str">
        <f>+VLOOKUP(B86,'DATOS CENTROS'!B:E,4,FALSE)</f>
        <v>C.P. Sant Cugat TALLERES Y ALMACÉN</v>
      </c>
      <c r="F86" s="360">
        <f>+VLOOKUP(B86,'DATOS CENTROS'!B:F,5,FALSE)</f>
        <v>9.0999999999999998E-2</v>
      </c>
      <c r="G86" s="342" t="str">
        <f>+IF(G33&gt;0,G33,"")</f>
        <v/>
      </c>
      <c r="H86" s="213" t="s">
        <v>25</v>
      </c>
      <c r="I86" s="214">
        <v>0.15</v>
      </c>
      <c r="J86" s="215" t="e">
        <f>+IF($K$86&gt;0,+ROUND($K$86*I86,0),"")</f>
        <v>#VALUE!</v>
      </c>
      <c r="K86" s="345" t="str">
        <f>+IFERROR(IF(OR($G$18=0,LEN($G$18)=0),"",IF(AND(M33="ok",(H33/H33)=1),N33,"")),"¿?")</f>
        <v/>
      </c>
      <c r="L86" s="202"/>
    </row>
    <row r="87" spans="1:12" ht="15.75" thickBot="1" x14ac:dyDescent="0.3">
      <c r="A87" s="147" t="str">
        <f>+'Anx I pg 1 oferta'!$B$18&amp;"T3_L07_inst_"&amp;B86&amp;"DA2"</f>
        <v>T3_L07_inst_L07-03DA2</v>
      </c>
      <c r="B87" s="349"/>
      <c r="C87" s="352"/>
      <c r="D87" s="364"/>
      <c r="E87" s="358"/>
      <c r="F87" s="361"/>
      <c r="G87" s="343"/>
      <c r="H87" s="213" t="s">
        <v>26</v>
      </c>
      <c r="I87" s="214">
        <v>0.1</v>
      </c>
      <c r="J87" s="215" t="e">
        <f t="shared" ref="J87:J89" si="2">+IF($K$86&gt;0,+ROUND($K$86*I87,0),"")</f>
        <v>#VALUE!</v>
      </c>
      <c r="K87" s="346"/>
      <c r="L87" s="202"/>
    </row>
    <row r="88" spans="1:12" ht="15.75" thickBot="1" x14ac:dyDescent="0.3">
      <c r="A88" s="147" t="str">
        <f>+'Anx I pg 1 oferta'!$B$18&amp;"T3_L07_inst_"&amp;B86&amp;"DA3"</f>
        <v>T3_L07_inst_L07-03DA3</v>
      </c>
      <c r="B88" s="349"/>
      <c r="C88" s="352"/>
      <c r="D88" s="364"/>
      <c r="E88" s="358"/>
      <c r="F88" s="361"/>
      <c r="G88" s="343"/>
      <c r="H88" s="213" t="s">
        <v>27</v>
      </c>
      <c r="I88" s="214">
        <v>0.2</v>
      </c>
      <c r="J88" s="215" t="e">
        <f t="shared" si="2"/>
        <v>#VALUE!</v>
      </c>
      <c r="K88" s="346"/>
      <c r="L88" s="202"/>
    </row>
    <row r="89" spans="1:12" ht="15.75" thickBot="1" x14ac:dyDescent="0.3">
      <c r="A89" s="147" t="str">
        <f>+'Anx I pg 1 oferta'!$B$18&amp;"T3_L07_inst_"&amp;B86&amp;"DA4"</f>
        <v>T3_L07_inst_L07-03DA4</v>
      </c>
      <c r="B89" s="349"/>
      <c r="C89" s="352"/>
      <c r="D89" s="364"/>
      <c r="E89" s="358"/>
      <c r="F89" s="361"/>
      <c r="G89" s="343"/>
      <c r="H89" s="213" t="s">
        <v>57</v>
      </c>
      <c r="I89" s="214">
        <v>0.05</v>
      </c>
      <c r="J89" s="215" t="e">
        <f t="shared" si="2"/>
        <v>#VALUE!</v>
      </c>
      <c r="K89" s="346"/>
      <c r="L89" s="202"/>
    </row>
    <row r="90" spans="1:12" ht="15.75" thickBot="1" x14ac:dyDescent="0.3">
      <c r="A90" s="147" t="str">
        <f>+'Anx I pg 1 oferta'!$B$18&amp;"T3_L07_inst_"&amp;B86&amp;"DA5"</f>
        <v>T3_L07_inst_L07-03DA5</v>
      </c>
      <c r="B90" s="350"/>
      <c r="C90" s="353"/>
      <c r="D90" s="365"/>
      <c r="E90" s="359"/>
      <c r="F90" s="362"/>
      <c r="G90" s="344"/>
      <c r="H90" s="213" t="s">
        <v>364</v>
      </c>
      <c r="I90" s="214">
        <v>0.5</v>
      </c>
      <c r="J90" s="215" t="e">
        <f>+IF($K$86&gt;0,+$K$86-SUM(J86:J89),"")</f>
        <v>#VALUE!</v>
      </c>
      <c r="K90" s="347"/>
      <c r="L90" s="202"/>
    </row>
    <row r="91" spans="1:12" ht="15.75" thickBot="1" x14ac:dyDescent="0.3">
      <c r="A91" s="147" t="str">
        <f>+'Anx I pg 1 oferta'!$B$18&amp;"T3_L07_inst_"&amp;B91&amp;"DA1"</f>
        <v>T3_L07_inst_L07-04DA1</v>
      </c>
      <c r="B91" s="348" t="s">
        <v>285</v>
      </c>
      <c r="C91" s="351" t="str">
        <f>+VLOOKUP(B91,'DATOS CENTROS'!B:E,2,FALSE)</f>
        <v>Mercé Viralet, s/n</v>
      </c>
      <c r="D91" s="363" t="str">
        <f>+VLOOKUP(B91,'DATOS CENTROS'!B:E,3,FALSE)</f>
        <v xml:space="preserve"> A + C</v>
      </c>
      <c r="E91" s="357" t="str">
        <f>+VLOOKUP(B91,'DATOS CENTROS'!B:E,4,FALSE)</f>
        <v>C.P. Sant Cugat UUMM</v>
      </c>
      <c r="F91" s="360">
        <f>+VLOOKUP(B91,'DATOS CENTROS'!B:F,5,FALSE)</f>
        <v>0.06</v>
      </c>
      <c r="G91" s="342" t="str">
        <f>+IF(G35&gt;0,G35,"")</f>
        <v/>
      </c>
      <c r="H91" s="213" t="s">
        <v>25</v>
      </c>
      <c r="I91" s="214">
        <v>0.15</v>
      </c>
      <c r="J91" s="215" t="e">
        <f>+IF($K$91&gt;0,+ROUND($K$91*I91,0),"")</f>
        <v>#VALUE!</v>
      </c>
      <c r="K91" s="345" t="str">
        <f>+IFERROR(IF(OR($G$18=0,LEN($G$18)=0),"",IF(AND(M35="ok",(H35/H35)=1),N35,"")),"¿?")</f>
        <v/>
      </c>
      <c r="L91" s="202"/>
    </row>
    <row r="92" spans="1:12" ht="15.75" thickBot="1" x14ac:dyDescent="0.3">
      <c r="A92" s="147" t="str">
        <f>+'Anx I pg 1 oferta'!$B$18&amp;"T3_L07_inst_"&amp;B91&amp;"DA2"</f>
        <v>T3_L07_inst_L07-04DA2</v>
      </c>
      <c r="B92" s="349"/>
      <c r="C92" s="352"/>
      <c r="D92" s="364"/>
      <c r="E92" s="358"/>
      <c r="F92" s="361"/>
      <c r="G92" s="343"/>
      <c r="H92" s="213" t="s">
        <v>26</v>
      </c>
      <c r="I92" s="214">
        <v>0.1</v>
      </c>
      <c r="J92" s="215" t="e">
        <f t="shared" ref="J92:J94" si="3">+IF($K$91&gt;0,+ROUND($K$91*I92,0),"")</f>
        <v>#VALUE!</v>
      </c>
      <c r="K92" s="346"/>
      <c r="L92" s="202"/>
    </row>
    <row r="93" spans="1:12" ht="15.75" thickBot="1" x14ac:dyDescent="0.3">
      <c r="A93" s="147" t="str">
        <f>+'Anx I pg 1 oferta'!$B$18&amp;"T3_L07_inst_"&amp;B91&amp;"DA3"</f>
        <v>T3_L07_inst_L07-04DA3</v>
      </c>
      <c r="B93" s="349"/>
      <c r="C93" s="352"/>
      <c r="D93" s="364"/>
      <c r="E93" s="358"/>
      <c r="F93" s="361"/>
      <c r="G93" s="343"/>
      <c r="H93" s="213" t="s">
        <v>27</v>
      </c>
      <c r="I93" s="214">
        <v>0.2</v>
      </c>
      <c r="J93" s="215" t="e">
        <f t="shared" si="3"/>
        <v>#VALUE!</v>
      </c>
      <c r="K93" s="346"/>
      <c r="L93" s="202"/>
    </row>
    <row r="94" spans="1:12" ht="15.75" thickBot="1" x14ac:dyDescent="0.3">
      <c r="A94" s="147" t="str">
        <f>+'Anx I pg 1 oferta'!$B$18&amp;"T3_L07_inst_"&amp;B91&amp;"DA4"</f>
        <v>T3_L07_inst_L07-04DA4</v>
      </c>
      <c r="B94" s="349"/>
      <c r="C94" s="352"/>
      <c r="D94" s="364"/>
      <c r="E94" s="358"/>
      <c r="F94" s="361"/>
      <c r="G94" s="343"/>
      <c r="H94" s="213" t="s">
        <v>57</v>
      </c>
      <c r="I94" s="214">
        <v>0.05</v>
      </c>
      <c r="J94" s="215" t="e">
        <f t="shared" si="3"/>
        <v>#VALUE!</v>
      </c>
      <c r="K94" s="346"/>
      <c r="L94" s="202"/>
    </row>
    <row r="95" spans="1:12" ht="15.75" thickBot="1" x14ac:dyDescent="0.3">
      <c r="A95" s="147" t="str">
        <f>+'Anx I pg 1 oferta'!$B$18&amp;"T3_L07_inst_"&amp;B91&amp;"DA5"</f>
        <v>T3_L07_inst_L07-04DA5</v>
      </c>
      <c r="B95" s="350"/>
      <c r="C95" s="353"/>
      <c r="D95" s="365"/>
      <c r="E95" s="359"/>
      <c r="F95" s="362"/>
      <c r="G95" s="344"/>
      <c r="H95" s="213" t="s">
        <v>364</v>
      </c>
      <c r="I95" s="214">
        <v>0.5</v>
      </c>
      <c r="J95" s="215" t="e">
        <f>+IF($K$91&gt;0,+$K$91-SUM(J91:J94),"")</f>
        <v>#VALUE!</v>
      </c>
      <c r="K95" s="347"/>
      <c r="L95" s="202"/>
    </row>
    <row r="96" spans="1:12" ht="15.75" thickBot="1" x14ac:dyDescent="0.3">
      <c r="A96" s="147" t="str">
        <f>+'Anx I pg 1 oferta'!$B$18&amp;"T3_L07_inst_"&amp;B96&amp;"DA1"</f>
        <v>T3_L07_inst_L07-05DA1</v>
      </c>
      <c r="B96" s="348" t="s">
        <v>287</v>
      </c>
      <c r="C96" s="351" t="str">
        <f>+VLOOKUP(B96,'DATOS CENTROS'!B:E,2,FALSE)</f>
        <v>Mercé Viralet, s/n</v>
      </c>
      <c r="D96" s="354" t="str">
        <f>+VLOOKUP(B96,'DATOS CENTROS'!B:E,3,FALSE)</f>
        <v xml:space="preserve"> A + C</v>
      </c>
      <c r="E96" s="357" t="str">
        <f>+VLOOKUP(B96,'DATOS CENTROS'!B:E,4,FALSE)</f>
        <v>C.P. Sant Cugat BLOQUE OFICINAS</v>
      </c>
      <c r="F96" s="360">
        <f>+VLOOKUP(B96,'DATOS CENTROS'!B:F,5,FALSE)</f>
        <v>0.129</v>
      </c>
      <c r="G96" s="342" t="str">
        <f>+IF(G37&gt;0,G37,"")</f>
        <v/>
      </c>
      <c r="H96" s="213" t="s">
        <v>25</v>
      </c>
      <c r="I96" s="214">
        <v>0.15</v>
      </c>
      <c r="J96" s="215" t="e">
        <f>+IF($K$96&gt;0,+ROUND($K$96*I96,0),"")</f>
        <v>#VALUE!</v>
      </c>
      <c r="K96" s="345" t="str">
        <f>+IFERROR(IF(OR($G$18=0,LEN($G$18)=0),"",IF(AND(M37="ok",(H37/H37)=1),N37,"")),"¿?")</f>
        <v/>
      </c>
      <c r="L96" s="202"/>
    </row>
    <row r="97" spans="1:12" ht="15.75" thickBot="1" x14ac:dyDescent="0.3">
      <c r="A97" s="147" t="str">
        <f>+'Anx I pg 1 oferta'!$B$18&amp;"T3_L07_inst_"&amp;B96&amp;"DA2"</f>
        <v>T3_L07_inst_L07-05DA2</v>
      </c>
      <c r="B97" s="349"/>
      <c r="C97" s="352"/>
      <c r="D97" s="355"/>
      <c r="E97" s="358"/>
      <c r="F97" s="361"/>
      <c r="G97" s="343"/>
      <c r="H97" s="213" t="s">
        <v>26</v>
      </c>
      <c r="I97" s="214">
        <v>0.1</v>
      </c>
      <c r="J97" s="215" t="e">
        <f t="shared" ref="J97:J99" si="4">+IF($K$96&gt;0,+ROUND($K$96*I97,0),"")</f>
        <v>#VALUE!</v>
      </c>
      <c r="K97" s="346"/>
      <c r="L97" s="202"/>
    </row>
    <row r="98" spans="1:12" ht="15.75" thickBot="1" x14ac:dyDescent="0.3">
      <c r="A98" s="147" t="str">
        <f>+'Anx I pg 1 oferta'!$B$18&amp;"T3_L07_inst_"&amp;B96&amp;"DA3"</f>
        <v>T3_L07_inst_L07-05DA3</v>
      </c>
      <c r="B98" s="349"/>
      <c r="C98" s="352"/>
      <c r="D98" s="355"/>
      <c r="E98" s="358"/>
      <c r="F98" s="361"/>
      <c r="G98" s="343"/>
      <c r="H98" s="213" t="s">
        <v>27</v>
      </c>
      <c r="I98" s="214">
        <v>0.2</v>
      </c>
      <c r="J98" s="215" t="e">
        <f t="shared" si="4"/>
        <v>#VALUE!</v>
      </c>
      <c r="K98" s="346"/>
      <c r="L98" s="202"/>
    </row>
    <row r="99" spans="1:12" ht="15.75" thickBot="1" x14ac:dyDescent="0.3">
      <c r="A99" s="147" t="str">
        <f>+'Anx I pg 1 oferta'!$B$18&amp;"T3_L07_inst_"&amp;B96&amp;"DA4"</f>
        <v>T3_L07_inst_L07-05DA4</v>
      </c>
      <c r="B99" s="349"/>
      <c r="C99" s="352"/>
      <c r="D99" s="355"/>
      <c r="E99" s="358"/>
      <c r="F99" s="361"/>
      <c r="G99" s="343"/>
      <c r="H99" s="213" t="s">
        <v>57</v>
      </c>
      <c r="I99" s="214">
        <v>0.05</v>
      </c>
      <c r="J99" s="215" t="e">
        <f t="shared" si="4"/>
        <v>#VALUE!</v>
      </c>
      <c r="K99" s="346"/>
      <c r="L99" s="202"/>
    </row>
    <row r="100" spans="1:12" ht="15.75" thickBot="1" x14ac:dyDescent="0.3">
      <c r="A100" s="147" t="str">
        <f>+'Anx I pg 1 oferta'!$B$18&amp;"T3_L07_inst_"&amp;B96&amp;"DA5"</f>
        <v>T3_L07_inst_L07-05DA5</v>
      </c>
      <c r="B100" s="350"/>
      <c r="C100" s="353"/>
      <c r="D100" s="356"/>
      <c r="E100" s="359"/>
      <c r="F100" s="362"/>
      <c r="G100" s="344"/>
      <c r="H100" s="213" t="s">
        <v>364</v>
      </c>
      <c r="I100" s="214">
        <v>0.5</v>
      </c>
      <c r="J100" s="215" t="e">
        <f>+IF($K$96&gt;0,+$K$96-SUM(J96:J99),"")</f>
        <v>#VALUE!</v>
      </c>
      <c r="K100" s="347"/>
      <c r="L100" s="202"/>
    </row>
    <row r="101" spans="1:12" ht="15.75" thickBot="1" x14ac:dyDescent="0.3">
      <c r="A101" s="147" t="str">
        <f>+'Anx I pg 1 oferta'!$B$18&amp;"T3_L07_inst_"&amp;B101&amp;"DA1"</f>
        <v>T3_L07_inst_L07-06DA1</v>
      </c>
      <c r="B101" s="348" t="s">
        <v>289</v>
      </c>
      <c r="C101" s="351" t="str">
        <f>+VLOOKUP(B101,'DATOS CENTROS'!B:E,2,FALSE)</f>
        <v>Mercé Viralet, s/n</v>
      </c>
      <c r="D101" s="354" t="str">
        <f>+VLOOKUP(B101,'DATOS CENTROS'!B:E,3,FALSE)</f>
        <v xml:space="preserve"> A + C</v>
      </c>
      <c r="E101" s="357" t="str">
        <f>+VLOOKUP(B101,'DATOS CENTROS'!B:E,4,FALSE)</f>
        <v>C.P. Sant Cugat BLOQUE TÉCNICO</v>
      </c>
      <c r="F101" s="360">
        <f>+VLOOKUP(B101,'DATOS CENTROS'!B:F,5,FALSE)</f>
        <v>7.8E-2</v>
      </c>
      <c r="G101" s="342" t="str">
        <f>+IF(G39&gt;0,G39,"")</f>
        <v/>
      </c>
      <c r="H101" s="213" t="s">
        <v>25</v>
      </c>
      <c r="I101" s="214">
        <v>0.15</v>
      </c>
      <c r="J101" s="215" t="e">
        <f>+IF($K$101&gt;0,+ROUND($K$101*I101,0),"")</f>
        <v>#VALUE!</v>
      </c>
      <c r="K101" s="345" t="str">
        <f>+IFERROR(IF(OR($G$18=0,LEN($G$18)=0),"",IF(AND(M39="ok",(H39/H39)=1),N39,"")),"¿?")</f>
        <v/>
      </c>
      <c r="L101" s="202"/>
    </row>
    <row r="102" spans="1:12" ht="15.75" thickBot="1" x14ac:dyDescent="0.3">
      <c r="A102" s="147" t="str">
        <f>+'Anx I pg 1 oferta'!$B$18&amp;"T3_L07_inst_"&amp;B101&amp;"DA2"</f>
        <v>T3_L07_inst_L07-06DA2</v>
      </c>
      <c r="B102" s="349"/>
      <c r="C102" s="352"/>
      <c r="D102" s="355"/>
      <c r="E102" s="358"/>
      <c r="F102" s="361"/>
      <c r="G102" s="343"/>
      <c r="H102" s="213" t="s">
        <v>26</v>
      </c>
      <c r="I102" s="214">
        <v>0.1</v>
      </c>
      <c r="J102" s="215" t="e">
        <f t="shared" ref="J102:J104" si="5">+IF($K$101&gt;0,+ROUND($K$101*I102,0),"")</f>
        <v>#VALUE!</v>
      </c>
      <c r="K102" s="346"/>
      <c r="L102" s="202"/>
    </row>
    <row r="103" spans="1:12" ht="15.75" thickBot="1" x14ac:dyDescent="0.3">
      <c r="A103" s="147" t="str">
        <f>+'Anx I pg 1 oferta'!$B$18&amp;"T3_L07_inst_"&amp;B101&amp;"DA3"</f>
        <v>T3_L07_inst_L07-06DA3</v>
      </c>
      <c r="B103" s="349"/>
      <c r="C103" s="352"/>
      <c r="D103" s="355"/>
      <c r="E103" s="358"/>
      <c r="F103" s="361"/>
      <c r="G103" s="343"/>
      <c r="H103" s="213" t="s">
        <v>27</v>
      </c>
      <c r="I103" s="214">
        <v>0.2</v>
      </c>
      <c r="J103" s="215" t="e">
        <f t="shared" si="5"/>
        <v>#VALUE!</v>
      </c>
      <c r="K103" s="346"/>
      <c r="L103" s="202"/>
    </row>
    <row r="104" spans="1:12" ht="15.75" thickBot="1" x14ac:dyDescent="0.3">
      <c r="A104" s="147" t="str">
        <f>+'Anx I pg 1 oferta'!$B$18&amp;"T3_L07_inst_"&amp;B101&amp;"DA4"</f>
        <v>T3_L07_inst_L07-06DA4</v>
      </c>
      <c r="B104" s="349"/>
      <c r="C104" s="352"/>
      <c r="D104" s="355"/>
      <c r="E104" s="358"/>
      <c r="F104" s="361"/>
      <c r="G104" s="343"/>
      <c r="H104" s="213" t="s">
        <v>57</v>
      </c>
      <c r="I104" s="214">
        <v>0.05</v>
      </c>
      <c r="J104" s="215" t="e">
        <f t="shared" si="5"/>
        <v>#VALUE!</v>
      </c>
      <c r="K104" s="346"/>
      <c r="L104" s="202"/>
    </row>
    <row r="105" spans="1:12" ht="15.75" thickBot="1" x14ac:dyDescent="0.3">
      <c r="A105" s="147" t="str">
        <f>+'Anx I pg 1 oferta'!$B$18&amp;"T3_L07_inst_"&amp;B101&amp;"DA5"</f>
        <v>T3_L07_inst_L07-06DA5</v>
      </c>
      <c r="B105" s="350"/>
      <c r="C105" s="353"/>
      <c r="D105" s="356"/>
      <c r="E105" s="359"/>
      <c r="F105" s="362"/>
      <c r="G105" s="344"/>
      <c r="H105" s="213" t="s">
        <v>364</v>
      </c>
      <c r="I105" s="214">
        <v>0.5</v>
      </c>
      <c r="J105" s="215" t="e">
        <f>+IF($K$101&gt;0,+$K$101-SUM(J101:J104),"")</f>
        <v>#VALUE!</v>
      </c>
      <c r="K105" s="347"/>
      <c r="L105" s="202"/>
    </row>
    <row r="106" spans="1:12" ht="15.75" customHeight="1" thickBot="1" x14ac:dyDescent="0.3">
      <c r="A106" s="147" t="str">
        <f>+'Anx I pg 1 oferta'!$B$18&amp;"T3_L07_inst_"&amp;B106&amp;"DA1"</f>
        <v>T3_L07_inst_L07-07DA1</v>
      </c>
      <c r="B106" s="348" t="s">
        <v>291</v>
      </c>
      <c r="C106" s="351" t="str">
        <f>+VLOOKUP(B106,'DATOS CENTROS'!B:E,2,FALSE)</f>
        <v>Mercé Viralet, s/n</v>
      </c>
      <c r="D106" s="354" t="str">
        <f>+VLOOKUP(B106,'DATOS CENTROS'!B:E,3,FALSE)</f>
        <v xml:space="preserve"> A + C</v>
      </c>
      <c r="E106" s="357" t="str">
        <f>+VLOOKUP(B106,'DATOS CENTROS'!B:E,4,FALSE)</f>
        <v>C.P. Sant Cugat EE 1 Y 2, CC Y PREMONTAJE</v>
      </c>
      <c r="F106" s="360">
        <f>+VLOOKUP(B106,'DATOS CENTROS'!B:F,5,FALSE)</f>
        <v>8.5000000000000006E-2</v>
      </c>
      <c r="G106" s="342" t="str">
        <f>+IF(G41&gt;0,G41,"")</f>
        <v/>
      </c>
      <c r="H106" s="213" t="s">
        <v>25</v>
      </c>
      <c r="I106" s="214">
        <v>0.15</v>
      </c>
      <c r="J106" s="215" t="e">
        <f>+IF($K$106&gt;0,+ROUND($K$106*I106,0),"")</f>
        <v>#VALUE!</v>
      </c>
      <c r="K106" s="345" t="str">
        <f>+IFERROR(IF(OR($G$18=0,LEN($G$18)=0),"",IF(AND(M41="ok",(H41/H41)=1),N41,"")),"¿?")</f>
        <v/>
      </c>
      <c r="L106" s="202"/>
    </row>
    <row r="107" spans="1:12" ht="15.75" thickBot="1" x14ac:dyDescent="0.3">
      <c r="A107" s="147" t="str">
        <f>+'Anx I pg 1 oferta'!$B$18&amp;"T3_L07_inst_"&amp;B106&amp;"DA2"</f>
        <v>T3_L07_inst_L07-07DA2</v>
      </c>
      <c r="B107" s="349"/>
      <c r="C107" s="352"/>
      <c r="D107" s="355"/>
      <c r="E107" s="358"/>
      <c r="F107" s="361"/>
      <c r="G107" s="343"/>
      <c r="H107" s="213" t="s">
        <v>26</v>
      </c>
      <c r="I107" s="214">
        <v>0.1</v>
      </c>
      <c r="J107" s="215" t="e">
        <f t="shared" ref="J107:J109" si="6">+IF($K$106&gt;0,+ROUND($K$106*I107,0),"")</f>
        <v>#VALUE!</v>
      </c>
      <c r="K107" s="346"/>
      <c r="L107" s="202"/>
    </row>
    <row r="108" spans="1:12" ht="15.75" thickBot="1" x14ac:dyDescent="0.3">
      <c r="A108" s="147" t="str">
        <f>+'Anx I pg 1 oferta'!$B$18&amp;"T3_L07_inst_"&amp;B106&amp;"DA3"</f>
        <v>T3_L07_inst_L07-07DA3</v>
      </c>
      <c r="B108" s="349"/>
      <c r="C108" s="352"/>
      <c r="D108" s="355"/>
      <c r="E108" s="358"/>
      <c r="F108" s="361"/>
      <c r="G108" s="343"/>
      <c r="H108" s="213" t="s">
        <v>27</v>
      </c>
      <c r="I108" s="214">
        <v>0.2</v>
      </c>
      <c r="J108" s="215" t="e">
        <f t="shared" si="6"/>
        <v>#VALUE!</v>
      </c>
      <c r="K108" s="346"/>
      <c r="L108" s="202"/>
    </row>
    <row r="109" spans="1:12" ht="15.75" thickBot="1" x14ac:dyDescent="0.3">
      <c r="A109" s="147" t="str">
        <f>+'Anx I pg 1 oferta'!$B$18&amp;"T3_L07_inst_"&amp;B106&amp;"DA4"</f>
        <v>T3_L07_inst_L07-07DA4</v>
      </c>
      <c r="B109" s="349"/>
      <c r="C109" s="352"/>
      <c r="D109" s="355"/>
      <c r="E109" s="358"/>
      <c r="F109" s="361"/>
      <c r="G109" s="343"/>
      <c r="H109" s="213" t="s">
        <v>57</v>
      </c>
      <c r="I109" s="214">
        <v>0.05</v>
      </c>
      <c r="J109" s="215" t="e">
        <f t="shared" si="6"/>
        <v>#VALUE!</v>
      </c>
      <c r="K109" s="346"/>
      <c r="L109" s="202"/>
    </row>
    <row r="110" spans="1:12" ht="15.75" thickBot="1" x14ac:dyDescent="0.3">
      <c r="A110" s="147" t="str">
        <f>+'Anx I pg 1 oferta'!$B$18&amp;"T3_L07_inst_"&amp;B106&amp;"DA5"</f>
        <v>T3_L07_inst_L07-07DA5</v>
      </c>
      <c r="B110" s="350"/>
      <c r="C110" s="353"/>
      <c r="D110" s="356"/>
      <c r="E110" s="359"/>
      <c r="F110" s="362"/>
      <c r="G110" s="344"/>
      <c r="H110" s="213" t="s">
        <v>364</v>
      </c>
      <c r="I110" s="214">
        <v>0.5</v>
      </c>
      <c r="J110" s="215" t="e">
        <f>+IF($K$106&gt;0,+$K$106-SUM(J106:J109),"")</f>
        <v>#VALUE!</v>
      </c>
      <c r="K110" s="347"/>
      <c r="L110" s="202"/>
    </row>
    <row r="111" spans="1:12" ht="15.75" thickBot="1" x14ac:dyDescent="0.3">
      <c r="A111" s="147" t="str">
        <f>+'Anx I pg 1 oferta'!$B$18&amp;"T3_L07_inst_"&amp;B111&amp;"DA1"</f>
        <v>T3_L07_inst_L07-08DA1</v>
      </c>
      <c r="B111" s="348" t="s">
        <v>293</v>
      </c>
      <c r="C111" s="351" t="str">
        <f>+VLOOKUP(B111,'DATOS CENTROS'!B:E,2,FALSE)</f>
        <v>Mercé Viralet, s/n</v>
      </c>
      <c r="D111" s="354" t="str">
        <f>+VLOOKUP(B111,'DATOS CENTROS'!B:E,3,FALSE)</f>
        <v xml:space="preserve"> A + C</v>
      </c>
      <c r="E111" s="357" t="str">
        <f>+VLOOKUP(B111,'DATOS CENTROS'!B:E,4,FALSE)</f>
        <v>C.P. Sant Cugat EE 3 Y 4, CC Y PREMONTAJE</v>
      </c>
      <c r="F111" s="360">
        <f>+VLOOKUP(B111,'DATOS CENTROS'!B:F,5,FALSE)</f>
        <v>9.2999999999999999E-2</v>
      </c>
      <c r="G111" s="342" t="str">
        <f>+IF(G43&gt;0,G43,"")</f>
        <v/>
      </c>
      <c r="H111" s="213" t="s">
        <v>25</v>
      </c>
      <c r="I111" s="214">
        <v>0.15</v>
      </c>
      <c r="J111" s="215" t="e">
        <f>+IF($K$111&gt;0,+ROUND($K$111*I111,0),"")</f>
        <v>#VALUE!</v>
      </c>
      <c r="K111" s="345" t="str">
        <f>+IFERROR(IF(OR($G$18=0,LEN($G$18)=0),"",IF(AND(M43="ok",(H43/H43)=1),N43,"")),"¿?")</f>
        <v/>
      </c>
      <c r="L111" s="202"/>
    </row>
    <row r="112" spans="1:12" ht="15.75" thickBot="1" x14ac:dyDescent="0.3">
      <c r="A112" s="147" t="str">
        <f>+'Anx I pg 1 oferta'!$B$18&amp;"T3_L07_inst_"&amp;B111&amp;"DA2"</f>
        <v>T3_L07_inst_L07-08DA2</v>
      </c>
      <c r="B112" s="349"/>
      <c r="C112" s="352"/>
      <c r="D112" s="355"/>
      <c r="E112" s="358"/>
      <c r="F112" s="361"/>
      <c r="G112" s="343"/>
      <c r="H112" s="213" t="s">
        <v>26</v>
      </c>
      <c r="I112" s="214">
        <v>0.1</v>
      </c>
      <c r="J112" s="215" t="e">
        <f t="shared" ref="J112:J114" si="7">+IF($K$111&gt;0,+ROUND($K$111*I112,0),"")</f>
        <v>#VALUE!</v>
      </c>
      <c r="K112" s="346"/>
      <c r="L112" s="202"/>
    </row>
    <row r="113" spans="1:12" ht="15.75" thickBot="1" x14ac:dyDescent="0.3">
      <c r="A113" s="147" t="str">
        <f>+'Anx I pg 1 oferta'!$B$18&amp;"T3_L07_inst_"&amp;B111&amp;"DA3"</f>
        <v>T3_L07_inst_L07-08DA3</v>
      </c>
      <c r="B113" s="349"/>
      <c r="C113" s="352"/>
      <c r="D113" s="355"/>
      <c r="E113" s="358"/>
      <c r="F113" s="361"/>
      <c r="G113" s="343"/>
      <c r="H113" s="213" t="s">
        <v>27</v>
      </c>
      <c r="I113" s="214">
        <v>0.2</v>
      </c>
      <c r="J113" s="215" t="e">
        <f t="shared" si="7"/>
        <v>#VALUE!</v>
      </c>
      <c r="K113" s="346"/>
      <c r="L113" s="202"/>
    </row>
    <row r="114" spans="1:12" ht="15.75" thickBot="1" x14ac:dyDescent="0.3">
      <c r="A114" s="147" t="str">
        <f>+'Anx I pg 1 oferta'!$B$18&amp;"T3_L07_inst_"&amp;B111&amp;"DA4"</f>
        <v>T3_L07_inst_L07-08DA4</v>
      </c>
      <c r="B114" s="349"/>
      <c r="C114" s="352"/>
      <c r="D114" s="355"/>
      <c r="E114" s="358"/>
      <c r="F114" s="361"/>
      <c r="G114" s="343"/>
      <c r="H114" s="213" t="s">
        <v>57</v>
      </c>
      <c r="I114" s="214">
        <v>0.05</v>
      </c>
      <c r="J114" s="215" t="e">
        <f t="shared" si="7"/>
        <v>#VALUE!</v>
      </c>
      <c r="K114" s="346"/>
      <c r="L114" s="202"/>
    </row>
    <row r="115" spans="1:12" ht="15.75" thickBot="1" x14ac:dyDescent="0.3">
      <c r="A115" s="147" t="str">
        <f>+'Anx I pg 1 oferta'!$B$18&amp;"T3_L07_inst_"&amp;B111&amp;"DA5"</f>
        <v>T3_L07_inst_L07-08DA5</v>
      </c>
      <c r="B115" s="350"/>
      <c r="C115" s="353"/>
      <c r="D115" s="356"/>
      <c r="E115" s="359"/>
      <c r="F115" s="362"/>
      <c r="G115" s="344"/>
      <c r="H115" s="213" t="s">
        <v>364</v>
      </c>
      <c r="I115" s="214">
        <v>0.5</v>
      </c>
      <c r="J115" s="215" t="e">
        <f>+IF($K$111&gt;0,+$K$111-SUM(J111:J114),"")</f>
        <v>#VALUE!</v>
      </c>
      <c r="K115" s="347"/>
      <c r="L115" s="202"/>
    </row>
    <row r="116" spans="1:12" ht="15.75" thickBot="1" x14ac:dyDescent="0.3">
      <c r="A116" s="147" t="str">
        <f>+'Anx I pg 1 oferta'!$B$18&amp;"T3_L07_inst_"&amp;B116&amp;"DA1"</f>
        <v>T3_L07_inst_L07-09DA1</v>
      </c>
      <c r="B116" s="348" t="s">
        <v>295</v>
      </c>
      <c r="C116" s="351" t="str">
        <f>+VLOOKUP(B116,'DATOS CENTROS'!B:E,2,FALSE)</f>
        <v>Mercé Viralet, s/n</v>
      </c>
      <c r="D116" s="354" t="str">
        <f>+VLOOKUP(B116,'DATOS CENTROS'!B:E,3,FALSE)</f>
        <v xml:space="preserve"> A + C</v>
      </c>
      <c r="E116" s="357" t="str">
        <f>+VLOOKUP(B116,'DATOS CENTROS'!B:E,4,FALSE)</f>
        <v>C.P. Sant Cugat EE 5 Y 6, CC Y PREMONTAJE</v>
      </c>
      <c r="F116" s="360">
        <f>+VLOOKUP(B116,'DATOS CENTROS'!B:F,5,FALSE)</f>
        <v>0.107</v>
      </c>
      <c r="G116" s="342" t="str">
        <f>+IF(G45&gt;0,G45,"")</f>
        <v/>
      </c>
      <c r="H116" s="213" t="s">
        <v>25</v>
      </c>
      <c r="I116" s="214">
        <v>0.15</v>
      </c>
      <c r="J116" s="215" t="e">
        <f>+IF($K$116&gt;0,+ROUND($K$116*I116,0),"")</f>
        <v>#VALUE!</v>
      </c>
      <c r="K116" s="345" t="str">
        <f>+IFERROR(IF(OR($G$18=0,LEN($G$18)=0),"",IF(AND(M45="ok",(H45/H45)=1),N45,"")),"¿?")</f>
        <v/>
      </c>
      <c r="L116" s="202"/>
    </row>
    <row r="117" spans="1:12" ht="15.75" thickBot="1" x14ac:dyDescent="0.3">
      <c r="A117" s="147" t="str">
        <f>+'Anx I pg 1 oferta'!$B$18&amp;"T3_L07_inst_"&amp;B116&amp;"DA2"</f>
        <v>T3_L07_inst_L07-09DA2</v>
      </c>
      <c r="B117" s="349"/>
      <c r="C117" s="352"/>
      <c r="D117" s="355"/>
      <c r="E117" s="358"/>
      <c r="F117" s="361"/>
      <c r="G117" s="343"/>
      <c r="H117" s="213" t="s">
        <v>26</v>
      </c>
      <c r="I117" s="214">
        <v>0.1</v>
      </c>
      <c r="J117" s="215" t="e">
        <f t="shared" ref="J117:J119" si="8">+IF($K$116&gt;0,+ROUND($K$116*I117,0),"")</f>
        <v>#VALUE!</v>
      </c>
      <c r="K117" s="346"/>
      <c r="L117" s="202"/>
    </row>
    <row r="118" spans="1:12" ht="15.75" thickBot="1" x14ac:dyDescent="0.3">
      <c r="A118" s="147" t="str">
        <f>+'Anx I pg 1 oferta'!$B$18&amp;"T3_L07_inst_"&amp;B116&amp;"DA3"</f>
        <v>T3_L07_inst_L07-09DA3</v>
      </c>
      <c r="B118" s="349"/>
      <c r="C118" s="352"/>
      <c r="D118" s="355"/>
      <c r="E118" s="358"/>
      <c r="F118" s="361"/>
      <c r="G118" s="343"/>
      <c r="H118" s="213" t="s">
        <v>27</v>
      </c>
      <c r="I118" s="214">
        <v>0.2</v>
      </c>
      <c r="J118" s="215" t="e">
        <f t="shared" si="8"/>
        <v>#VALUE!</v>
      </c>
      <c r="K118" s="346"/>
      <c r="L118" s="202"/>
    </row>
    <row r="119" spans="1:12" ht="15.75" thickBot="1" x14ac:dyDescent="0.3">
      <c r="A119" s="147" t="str">
        <f>+'Anx I pg 1 oferta'!$B$18&amp;"T3_L07_inst_"&amp;B116&amp;"DA4"</f>
        <v>T3_L07_inst_L07-09DA4</v>
      </c>
      <c r="B119" s="349"/>
      <c r="C119" s="352"/>
      <c r="D119" s="355"/>
      <c r="E119" s="358"/>
      <c r="F119" s="361"/>
      <c r="G119" s="343"/>
      <c r="H119" s="213" t="s">
        <v>57</v>
      </c>
      <c r="I119" s="214">
        <v>0.05</v>
      </c>
      <c r="J119" s="215" t="e">
        <f t="shared" si="8"/>
        <v>#VALUE!</v>
      </c>
      <c r="K119" s="346"/>
      <c r="L119" s="202"/>
    </row>
    <row r="120" spans="1:12" ht="15.75" thickBot="1" x14ac:dyDescent="0.3">
      <c r="A120" s="147" t="str">
        <f>+'Anx I pg 1 oferta'!$B$18&amp;"T3_L07_inst_"&amp;B116&amp;"DA5"</f>
        <v>T3_L07_inst_L07-09DA5</v>
      </c>
      <c r="B120" s="350"/>
      <c r="C120" s="353"/>
      <c r="D120" s="356"/>
      <c r="E120" s="359"/>
      <c r="F120" s="362"/>
      <c r="G120" s="344"/>
      <c r="H120" s="213" t="s">
        <v>364</v>
      </c>
      <c r="I120" s="214">
        <v>0.5</v>
      </c>
      <c r="J120" s="215" t="e">
        <f>+IF($K$116&gt;0,+$K$116-SUM(J116:J119),"")</f>
        <v>#VALUE!</v>
      </c>
      <c r="K120" s="347"/>
      <c r="L120" s="202"/>
    </row>
    <row r="121" spans="1:12" ht="15.75" thickBot="1" x14ac:dyDescent="0.3">
      <c r="A121" s="147" t="str">
        <f>+'Anx I pg 1 oferta'!$B$18&amp;"T3_L07_inst_"&amp;B121&amp;"DA1"</f>
        <v>T3_L07_inst_L07-10DA1</v>
      </c>
      <c r="B121" s="348" t="s">
        <v>297</v>
      </c>
      <c r="C121" s="351" t="str">
        <f>+VLOOKUP(B121,'DATOS CENTROS'!B:E,2,FALSE)</f>
        <v>Mercé Viralet, s/n</v>
      </c>
      <c r="D121" s="354" t="str">
        <f>+VLOOKUP(B121,'DATOS CENTROS'!B:E,3,FALSE)</f>
        <v xml:space="preserve"> A + C</v>
      </c>
      <c r="E121" s="357" t="str">
        <f>+VLOOKUP(B121,'DATOS CENTROS'!B:E,4,FALSE)</f>
        <v>C.P. Sant Cugat MODULO CENTRAL</v>
      </c>
      <c r="F121" s="360">
        <f>+VLOOKUP(B121,'DATOS CENTROS'!B:F,5,FALSE)</f>
        <v>7.5999999999999998E-2</v>
      </c>
      <c r="G121" s="342" t="str">
        <f>+IF(G47&gt;0,G47,"")</f>
        <v/>
      </c>
      <c r="H121" s="213" t="s">
        <v>25</v>
      </c>
      <c r="I121" s="214">
        <v>0.15</v>
      </c>
      <c r="J121" s="215" t="e">
        <f>+IF($K$121&gt;0,+ROUND($K$121*I121,0),"")</f>
        <v>#VALUE!</v>
      </c>
      <c r="K121" s="345" t="str">
        <f>+IFERROR(IF(OR($G$18=0,LEN($G$18)=0),"",IF(AND(M47="ok",(H47/H47)=1),N47,"")),"¿?")</f>
        <v/>
      </c>
      <c r="L121" s="202"/>
    </row>
    <row r="122" spans="1:12" ht="15.75" thickBot="1" x14ac:dyDescent="0.3">
      <c r="A122" s="147" t="str">
        <f>+'Anx I pg 1 oferta'!$B$18&amp;"T3_L07_inst_"&amp;B121&amp;"DA2"</f>
        <v>T3_L07_inst_L07-10DA2</v>
      </c>
      <c r="B122" s="349"/>
      <c r="C122" s="352"/>
      <c r="D122" s="355"/>
      <c r="E122" s="358"/>
      <c r="F122" s="361"/>
      <c r="G122" s="343"/>
      <c r="H122" s="213" t="s">
        <v>26</v>
      </c>
      <c r="I122" s="214">
        <v>0.1</v>
      </c>
      <c r="J122" s="215" t="e">
        <f t="shared" ref="J122:J124" si="9">+IF($K$121&gt;0,+ROUND($K$121*I122,0),"")</f>
        <v>#VALUE!</v>
      </c>
      <c r="K122" s="346"/>
      <c r="L122" s="202"/>
    </row>
    <row r="123" spans="1:12" ht="15.75" thickBot="1" x14ac:dyDescent="0.3">
      <c r="A123" s="147" t="str">
        <f>+'Anx I pg 1 oferta'!$B$18&amp;"T3_L07_inst_"&amp;B121&amp;"DA3"</f>
        <v>T3_L07_inst_L07-10DA3</v>
      </c>
      <c r="B123" s="349"/>
      <c r="C123" s="352"/>
      <c r="D123" s="355"/>
      <c r="E123" s="358"/>
      <c r="F123" s="361"/>
      <c r="G123" s="343"/>
      <c r="H123" s="213" t="s">
        <v>27</v>
      </c>
      <c r="I123" s="214">
        <v>0.2</v>
      </c>
      <c r="J123" s="215" t="e">
        <f t="shared" si="9"/>
        <v>#VALUE!</v>
      </c>
      <c r="K123" s="346"/>
      <c r="L123" s="202"/>
    </row>
    <row r="124" spans="1:12" ht="15.75" thickBot="1" x14ac:dyDescent="0.3">
      <c r="A124" s="147" t="str">
        <f>+'Anx I pg 1 oferta'!$B$18&amp;"T3_L07_inst_"&amp;B121&amp;"DA4"</f>
        <v>T3_L07_inst_L07-10DA4</v>
      </c>
      <c r="B124" s="349"/>
      <c r="C124" s="352"/>
      <c r="D124" s="355"/>
      <c r="E124" s="358"/>
      <c r="F124" s="361"/>
      <c r="G124" s="343"/>
      <c r="H124" s="213" t="s">
        <v>57</v>
      </c>
      <c r="I124" s="214">
        <v>0.05</v>
      </c>
      <c r="J124" s="215" t="e">
        <f t="shared" si="9"/>
        <v>#VALUE!</v>
      </c>
      <c r="K124" s="346"/>
      <c r="L124" s="202"/>
    </row>
    <row r="125" spans="1:12" ht="15.75" thickBot="1" x14ac:dyDescent="0.3">
      <c r="A125" s="147" t="str">
        <f>+'Anx I pg 1 oferta'!$B$18&amp;"T3_L07_inst_"&amp;B121&amp;"DA5"</f>
        <v>T3_L07_inst_L07-10DA5</v>
      </c>
      <c r="B125" s="350"/>
      <c r="C125" s="353"/>
      <c r="D125" s="356"/>
      <c r="E125" s="359"/>
      <c r="F125" s="362"/>
      <c r="G125" s="344"/>
      <c r="H125" s="213" t="s">
        <v>364</v>
      </c>
      <c r="I125" s="214">
        <v>0.5</v>
      </c>
      <c r="J125" s="215" t="e">
        <f>+IF($K$121&gt;0,+$K$121-SUM(J121:J124),"")</f>
        <v>#VALUE!</v>
      </c>
      <c r="K125" s="347"/>
      <c r="L125" s="202"/>
    </row>
    <row r="126" spans="1:12" ht="15.75" thickBot="1" x14ac:dyDescent="0.3">
      <c r="A126" s="147" t="str">
        <f>+'Anx I pg 1 oferta'!$B$18&amp;"T3_L07_inst_"&amp;B126&amp;"DA1"</f>
        <v>T3_L07_inst_L07-11DA1</v>
      </c>
      <c r="B126" s="348" t="s">
        <v>299</v>
      </c>
      <c r="C126" s="351" t="str">
        <f>+VLOOKUP(B126,'DATOS CENTROS'!B:E,2,FALSE)</f>
        <v>Reus</v>
      </c>
      <c r="D126" s="354" t="str">
        <f>+VLOOKUP(B126,'DATOS CENTROS'!B:E,3,FALSE)</f>
        <v xml:space="preserve"> A + C</v>
      </c>
      <c r="E126" s="357" t="str">
        <f>+VLOOKUP(B126,'DATOS CENTROS'!B:E,4,FALSE)</f>
        <v>C.E. OM REUS</v>
      </c>
      <c r="F126" s="360">
        <f>+VLOOKUP(B126,'DATOS CENTROS'!B:F,5,FALSE)</f>
        <v>4.2000000000000003E-2</v>
      </c>
      <c r="G126" s="342" t="str">
        <f>+IF(G49&gt;0,G49,"")</f>
        <v/>
      </c>
      <c r="H126" s="213" t="s">
        <v>25</v>
      </c>
      <c r="I126" s="214">
        <v>0.15</v>
      </c>
      <c r="J126" s="215" t="e">
        <f>+IF($K$126&gt;0,+ROUND($K$126*I126,0),"")</f>
        <v>#VALUE!</v>
      </c>
      <c r="K126" s="345" t="str">
        <f>+IFERROR(IF(OR($G$18=0,LEN($G$18)=0),"",IF(AND(M49="ok",(H49/H49)=1),N49,"")),"¿?")</f>
        <v/>
      </c>
      <c r="L126" s="202"/>
    </row>
    <row r="127" spans="1:12" ht="15.75" thickBot="1" x14ac:dyDescent="0.3">
      <c r="A127" s="147" t="str">
        <f>+'Anx I pg 1 oferta'!$B$18&amp;"T3_L07_inst_"&amp;B126&amp;"DA2"</f>
        <v>T3_L07_inst_L07-11DA2</v>
      </c>
      <c r="B127" s="349"/>
      <c r="C127" s="352"/>
      <c r="D127" s="355"/>
      <c r="E127" s="358"/>
      <c r="F127" s="361"/>
      <c r="G127" s="343"/>
      <c r="H127" s="213" t="s">
        <v>26</v>
      </c>
      <c r="I127" s="214">
        <v>0.1</v>
      </c>
      <c r="J127" s="215" t="e">
        <f t="shared" ref="J127:J129" si="10">+IF($K$126&gt;0,+ROUND($K$126*I127,0),"")</f>
        <v>#VALUE!</v>
      </c>
      <c r="K127" s="346"/>
      <c r="L127" s="202"/>
    </row>
    <row r="128" spans="1:12" ht="15.75" thickBot="1" x14ac:dyDescent="0.3">
      <c r="A128" s="147" t="str">
        <f>+'Anx I pg 1 oferta'!$B$18&amp;"T3_L07_inst_"&amp;B126&amp;"DA3"</f>
        <v>T3_L07_inst_L07-11DA3</v>
      </c>
      <c r="B128" s="349"/>
      <c r="C128" s="352"/>
      <c r="D128" s="355"/>
      <c r="E128" s="358"/>
      <c r="F128" s="361"/>
      <c r="G128" s="343"/>
      <c r="H128" s="213" t="s">
        <v>27</v>
      </c>
      <c r="I128" s="214">
        <v>0.2</v>
      </c>
      <c r="J128" s="215" t="e">
        <f t="shared" si="10"/>
        <v>#VALUE!</v>
      </c>
      <c r="K128" s="346"/>
      <c r="L128" s="202"/>
    </row>
    <row r="129" spans="1:12" ht="15.75" thickBot="1" x14ac:dyDescent="0.3">
      <c r="A129" s="147" t="str">
        <f>+'Anx I pg 1 oferta'!$B$18&amp;"T3_L07_inst_"&amp;B126&amp;"DA4"</f>
        <v>T3_L07_inst_L07-11DA4</v>
      </c>
      <c r="B129" s="349"/>
      <c r="C129" s="352"/>
      <c r="D129" s="355"/>
      <c r="E129" s="358"/>
      <c r="F129" s="361"/>
      <c r="G129" s="343"/>
      <c r="H129" s="213" t="s">
        <v>57</v>
      </c>
      <c r="I129" s="214">
        <v>0.05</v>
      </c>
      <c r="J129" s="215" t="e">
        <f t="shared" si="10"/>
        <v>#VALUE!</v>
      </c>
      <c r="K129" s="346"/>
      <c r="L129" s="202"/>
    </row>
    <row r="130" spans="1:12" ht="15.75" thickBot="1" x14ac:dyDescent="0.3">
      <c r="A130" s="147" t="str">
        <f>+'Anx I pg 1 oferta'!$B$18&amp;"T3_L07_inst_"&amp;B126&amp;"DA5"</f>
        <v>T3_L07_inst_L07-11DA5</v>
      </c>
      <c r="B130" s="350"/>
      <c r="C130" s="353"/>
      <c r="D130" s="356"/>
      <c r="E130" s="359"/>
      <c r="F130" s="362"/>
      <c r="G130" s="344"/>
      <c r="H130" s="213" t="s">
        <v>364</v>
      </c>
      <c r="I130" s="214">
        <v>0.5</v>
      </c>
      <c r="J130" s="215" t="e">
        <f>+IF($K$126&gt;0,+$K$126-SUM(J126:J129),"")</f>
        <v>#VALUE!</v>
      </c>
      <c r="K130" s="347"/>
      <c r="L130" s="202"/>
    </row>
    <row r="131" spans="1:12" ht="15.75" customHeight="1" thickBot="1" x14ac:dyDescent="0.3">
      <c r="A131" s="147" t="str">
        <f>+'Anx I pg 1 oferta'!$B$18&amp;"T3_L07_inst_"&amp;B131&amp;"DA1"</f>
        <v>T3_L07_inst_L07-12DA1</v>
      </c>
      <c r="B131" s="348" t="s">
        <v>301</v>
      </c>
      <c r="C131" s="351" t="str">
        <f>+VLOOKUP(B131,'DATOS CENTROS'!B:E,2,FALSE)</f>
        <v>Rambla  Xabier Cugat 30 Pl. baja. Rambla Antoni Vares Martinell 14, pl. baja  17007</v>
      </c>
      <c r="D131" s="354" t="str">
        <f>+VLOOKUP(B131,'DATOS CENTROS'!B:E,3,FALSE)</f>
        <v>C</v>
      </c>
      <c r="E131" s="357" t="str">
        <f>+VLOOKUP(B131,'DATOS CENTROS'!B:E,4,FALSE)</f>
        <v>S.U Girona (Xavier Cugat)</v>
      </c>
      <c r="F131" s="360">
        <f>+VLOOKUP(B131,'DATOS CENTROS'!B:F,5,FALSE)</f>
        <v>0.01</v>
      </c>
      <c r="G131" s="342" t="str">
        <f>+IF(G51&gt;0,G51,"")</f>
        <v/>
      </c>
      <c r="H131" s="213" t="s">
        <v>25</v>
      </c>
      <c r="I131" s="214">
        <v>0.15</v>
      </c>
      <c r="J131" s="215" t="e">
        <f>+IF($K$131&gt;0,+ROUND($K$131*I131,0),"")</f>
        <v>#VALUE!</v>
      </c>
      <c r="K131" s="345" t="str">
        <f>+IFERROR(IF(OR($G$18=0,LEN($G$18)=0),"",IF(AND(M51="ok",(H51/H51)=1),N51,"")),"¿?")</f>
        <v/>
      </c>
      <c r="L131" s="202"/>
    </row>
    <row r="132" spans="1:12" ht="15.75" thickBot="1" x14ac:dyDescent="0.3">
      <c r="A132" s="147" t="str">
        <f>+'Anx I pg 1 oferta'!$B$18&amp;"T3_L07_inst_"&amp;B131&amp;"DA2"</f>
        <v>T3_L07_inst_L07-12DA2</v>
      </c>
      <c r="B132" s="349"/>
      <c r="C132" s="352"/>
      <c r="D132" s="355"/>
      <c r="E132" s="358"/>
      <c r="F132" s="361"/>
      <c r="G132" s="343"/>
      <c r="H132" s="213" t="s">
        <v>26</v>
      </c>
      <c r="I132" s="214">
        <v>0.1</v>
      </c>
      <c r="J132" s="215" t="e">
        <f t="shared" ref="J132:J134" si="11">+IF($K$131&gt;0,+ROUND($K$131*I132,0),"")</f>
        <v>#VALUE!</v>
      </c>
      <c r="K132" s="346"/>
      <c r="L132" s="202"/>
    </row>
    <row r="133" spans="1:12" ht="15.75" thickBot="1" x14ac:dyDescent="0.3">
      <c r="A133" s="147" t="str">
        <f>+'Anx I pg 1 oferta'!$B$18&amp;"T3_L07_inst_"&amp;B131&amp;"DA3"</f>
        <v>T3_L07_inst_L07-12DA3</v>
      </c>
      <c r="B133" s="349"/>
      <c r="C133" s="352"/>
      <c r="D133" s="355"/>
      <c r="E133" s="358"/>
      <c r="F133" s="361"/>
      <c r="G133" s="343"/>
      <c r="H133" s="213" t="s">
        <v>27</v>
      </c>
      <c r="I133" s="214">
        <v>0.2</v>
      </c>
      <c r="J133" s="215" t="e">
        <f t="shared" si="11"/>
        <v>#VALUE!</v>
      </c>
      <c r="K133" s="346"/>
      <c r="L133" s="202"/>
    </row>
    <row r="134" spans="1:12" ht="15.75" thickBot="1" x14ac:dyDescent="0.3">
      <c r="A134" s="147" t="str">
        <f>+'Anx I pg 1 oferta'!$B$18&amp;"T3_L07_inst_"&amp;B131&amp;"DA4"</f>
        <v>T3_L07_inst_L07-12DA4</v>
      </c>
      <c r="B134" s="349"/>
      <c r="C134" s="352"/>
      <c r="D134" s="355"/>
      <c r="E134" s="358"/>
      <c r="F134" s="361"/>
      <c r="G134" s="343"/>
      <c r="H134" s="213" t="s">
        <v>57</v>
      </c>
      <c r="I134" s="214">
        <v>0.05</v>
      </c>
      <c r="J134" s="215" t="e">
        <f t="shared" si="11"/>
        <v>#VALUE!</v>
      </c>
      <c r="K134" s="346"/>
      <c r="L134" s="202"/>
    </row>
    <row r="135" spans="1:12" ht="15.75" thickBot="1" x14ac:dyDescent="0.3">
      <c r="A135" s="147" t="str">
        <f>+'Anx I pg 1 oferta'!$B$18&amp;"T3_L07_inst_"&amp;B131&amp;"DA5"</f>
        <v>T3_L07_inst_L07-12DA5</v>
      </c>
      <c r="B135" s="350"/>
      <c r="C135" s="353"/>
      <c r="D135" s="356"/>
      <c r="E135" s="359"/>
      <c r="F135" s="362"/>
      <c r="G135" s="344"/>
      <c r="H135" s="213" t="s">
        <v>364</v>
      </c>
      <c r="I135" s="214">
        <v>0.5</v>
      </c>
      <c r="J135" s="215" t="e">
        <f>+IF($K$131&gt;0,+$K$131-SUM(J131:J134),"")</f>
        <v>#VALUE!</v>
      </c>
      <c r="K135" s="347"/>
      <c r="L135" s="202"/>
    </row>
    <row r="136" spans="1:12" ht="15.75" thickBot="1" x14ac:dyDescent="0.3">
      <c r="A136" s="147" t="str">
        <f>+'Anx I pg 1 oferta'!$B$18&amp;"T3_L07_inst_"&amp;B136&amp;"DA1"</f>
        <v>T3_L07_inst_L07-13DA1</v>
      </c>
      <c r="B136" s="348" t="s">
        <v>303</v>
      </c>
      <c r="C136" s="351" t="str">
        <f>+VLOOKUP(B136,'DATOS CENTROS'!B:E,2,FALSE)</f>
        <v>Calle  Marqués de Camps 16 Plta. Entresuelo  17001</v>
      </c>
      <c r="D136" s="354" t="str">
        <f>+VLOOKUP(B136,'DATOS CENTROS'!B:E,3,FALSE)</f>
        <v>C</v>
      </c>
      <c r="E136" s="357" t="str">
        <f>+VLOOKUP(B136,'DATOS CENTROS'!B:E,4,FALSE)</f>
        <v>U.I. RTVE Girona</v>
      </c>
      <c r="F136" s="360">
        <f>+VLOOKUP(B136,'DATOS CENTROS'!B:F,5,FALSE)</f>
        <v>1.2E-2</v>
      </c>
      <c r="G136" s="342" t="str">
        <f>+IF(G53&gt;0,G53,"")</f>
        <v/>
      </c>
      <c r="H136" s="213" t="s">
        <v>25</v>
      </c>
      <c r="I136" s="214">
        <v>0.15</v>
      </c>
      <c r="J136" s="215" t="e">
        <f>+IF($K$136&gt;0,+ROUND($K$136*I136,0),"")</f>
        <v>#VALUE!</v>
      </c>
      <c r="K136" s="345" t="str">
        <f>+IFERROR(IF(OR($G$18=0,LEN($G$18)=0),"",IF(AND(M53="ok",(H53/H53)=1),N53,"")),"¿?")</f>
        <v/>
      </c>
      <c r="L136" s="202"/>
    </row>
    <row r="137" spans="1:12" ht="15.75" thickBot="1" x14ac:dyDescent="0.3">
      <c r="A137" s="147" t="str">
        <f>+'Anx I pg 1 oferta'!$B$18&amp;"T3_L07_inst_"&amp;B136&amp;"DA2"</f>
        <v>T3_L07_inst_L07-13DA2</v>
      </c>
      <c r="B137" s="349"/>
      <c r="C137" s="352"/>
      <c r="D137" s="355"/>
      <c r="E137" s="358"/>
      <c r="F137" s="361"/>
      <c r="G137" s="343"/>
      <c r="H137" s="213" t="s">
        <v>26</v>
      </c>
      <c r="I137" s="214">
        <v>0.1</v>
      </c>
      <c r="J137" s="215" t="e">
        <f t="shared" ref="J137:J139" si="12">+IF($K$136&gt;0,+ROUND($K$136*I137,0),"")</f>
        <v>#VALUE!</v>
      </c>
      <c r="K137" s="346"/>
      <c r="L137" s="202"/>
    </row>
    <row r="138" spans="1:12" ht="15.75" thickBot="1" x14ac:dyDescent="0.3">
      <c r="A138" s="147" t="str">
        <f>+'Anx I pg 1 oferta'!$B$18&amp;"T3_L07_inst_"&amp;B136&amp;"DA3"</f>
        <v>T3_L07_inst_L07-13DA3</v>
      </c>
      <c r="B138" s="349"/>
      <c r="C138" s="352"/>
      <c r="D138" s="355"/>
      <c r="E138" s="358"/>
      <c r="F138" s="361"/>
      <c r="G138" s="343"/>
      <c r="H138" s="213" t="s">
        <v>27</v>
      </c>
      <c r="I138" s="214">
        <v>0.2</v>
      </c>
      <c r="J138" s="215" t="e">
        <f t="shared" si="12"/>
        <v>#VALUE!</v>
      </c>
      <c r="K138" s="346"/>
      <c r="L138" s="202"/>
    </row>
    <row r="139" spans="1:12" ht="15.75" thickBot="1" x14ac:dyDescent="0.3">
      <c r="A139" s="147" t="str">
        <f>+'Anx I pg 1 oferta'!$B$18&amp;"T3_L07_inst_"&amp;B136&amp;"DA4"</f>
        <v>T3_L07_inst_L07-13DA4</v>
      </c>
      <c r="B139" s="349"/>
      <c r="C139" s="352"/>
      <c r="D139" s="355"/>
      <c r="E139" s="358"/>
      <c r="F139" s="361"/>
      <c r="G139" s="343"/>
      <c r="H139" s="213" t="s">
        <v>57</v>
      </c>
      <c r="I139" s="214">
        <v>0.05</v>
      </c>
      <c r="J139" s="215" t="e">
        <f t="shared" si="12"/>
        <v>#VALUE!</v>
      </c>
      <c r="K139" s="346"/>
      <c r="L139" s="202"/>
    </row>
    <row r="140" spans="1:12" ht="15.75" thickBot="1" x14ac:dyDescent="0.3">
      <c r="A140" s="147" t="str">
        <f>+'Anx I pg 1 oferta'!$B$18&amp;"T3_L07_inst_"&amp;B136&amp;"DA5"</f>
        <v>T3_L07_inst_L07-13DA5</v>
      </c>
      <c r="B140" s="350"/>
      <c r="C140" s="353"/>
      <c r="D140" s="356"/>
      <c r="E140" s="359"/>
      <c r="F140" s="362"/>
      <c r="G140" s="344"/>
      <c r="H140" s="213" t="s">
        <v>364</v>
      </c>
      <c r="I140" s="214">
        <v>0.5</v>
      </c>
      <c r="J140" s="215" t="e">
        <f>+IF($K$136&gt;0,+$K$136-SUM(J136:J139),"")</f>
        <v>#VALUE!</v>
      </c>
      <c r="K140" s="347"/>
      <c r="L140" s="202"/>
    </row>
    <row r="141" spans="1:12" ht="15.75" thickBot="1" x14ac:dyDescent="0.3">
      <c r="A141" s="147" t="str">
        <f>+'Anx I pg 1 oferta'!$B$18&amp;"T3_L07_inst_"&amp;B141&amp;"DA1"</f>
        <v>T3_L07_inst_L07-14DA1</v>
      </c>
      <c r="B141" s="348" t="s">
        <v>305</v>
      </c>
      <c r="C141" s="351" t="str">
        <f>+VLOOKUP(B141,'DATOS CENTROS'!B:E,2,FALSE)</f>
        <v>Paseo  del Parc 92 Planta Baja  25700</v>
      </c>
      <c r="D141" s="354" t="str">
        <f>+VLOOKUP(B141,'DATOS CENTROS'!B:E,3,FALSE)</f>
        <v>C</v>
      </c>
      <c r="E141" s="357" t="str">
        <f>+VLOOKUP(B141,'DATOS CENTROS'!B:E,4,FALSE)</f>
        <v>S.U. Seu d´Urgell</v>
      </c>
      <c r="F141" s="360">
        <f>+VLOOKUP(B141,'DATOS CENTROS'!B:F,5,FALSE)</f>
        <v>0.01</v>
      </c>
      <c r="G141" s="342" t="str">
        <f>+IF(G55&gt;0,G55,"")</f>
        <v/>
      </c>
      <c r="H141" s="213" t="s">
        <v>25</v>
      </c>
      <c r="I141" s="214">
        <v>0.15</v>
      </c>
      <c r="J141" s="215" t="e">
        <f>+IF($K$141&gt;0,+ROUND($K$141*I141,0),"")</f>
        <v>#VALUE!</v>
      </c>
      <c r="K141" s="345" t="str">
        <f>+IFERROR(IF(OR($G$18=0,LEN($G$18)=0),"",IF(AND(M55="ok",(H55/H55)=1),N55,"")),"¿?")</f>
        <v/>
      </c>
      <c r="L141" s="202"/>
    </row>
    <row r="142" spans="1:12" ht="15.75" thickBot="1" x14ac:dyDescent="0.3">
      <c r="A142" s="147" t="str">
        <f>+'Anx I pg 1 oferta'!$B$18&amp;"T3_L07_inst_"&amp;B141&amp;"DA2"</f>
        <v>T3_L07_inst_L07-14DA2</v>
      </c>
      <c r="B142" s="349"/>
      <c r="C142" s="352"/>
      <c r="D142" s="355"/>
      <c r="E142" s="358"/>
      <c r="F142" s="361"/>
      <c r="G142" s="343"/>
      <c r="H142" s="213" t="s">
        <v>26</v>
      </c>
      <c r="I142" s="214">
        <v>0.1</v>
      </c>
      <c r="J142" s="215" t="e">
        <f t="shared" ref="J142:J144" si="13">+IF($K$141&gt;0,+ROUND($K$141*I142,0),"")</f>
        <v>#VALUE!</v>
      </c>
      <c r="K142" s="346"/>
      <c r="L142" s="202"/>
    </row>
    <row r="143" spans="1:12" ht="15.75" thickBot="1" x14ac:dyDescent="0.3">
      <c r="A143" s="147" t="str">
        <f>+'Anx I pg 1 oferta'!$B$18&amp;"T3_L07_inst_"&amp;B141&amp;"DA3"</f>
        <v>T3_L07_inst_L07-14DA3</v>
      </c>
      <c r="B143" s="349"/>
      <c r="C143" s="352"/>
      <c r="D143" s="355"/>
      <c r="E143" s="358"/>
      <c r="F143" s="361"/>
      <c r="G143" s="343"/>
      <c r="H143" s="213" t="s">
        <v>27</v>
      </c>
      <c r="I143" s="214">
        <v>0.2</v>
      </c>
      <c r="J143" s="215" t="e">
        <f t="shared" si="13"/>
        <v>#VALUE!</v>
      </c>
      <c r="K143" s="346"/>
      <c r="L143" s="202"/>
    </row>
    <row r="144" spans="1:12" ht="15.75" thickBot="1" x14ac:dyDescent="0.3">
      <c r="A144" s="147" t="str">
        <f>+'Anx I pg 1 oferta'!$B$18&amp;"T3_L07_inst_"&amp;B141&amp;"DA4"</f>
        <v>T3_L07_inst_L07-14DA4</v>
      </c>
      <c r="B144" s="349"/>
      <c r="C144" s="352"/>
      <c r="D144" s="355"/>
      <c r="E144" s="358"/>
      <c r="F144" s="361"/>
      <c r="G144" s="343"/>
      <c r="H144" s="213" t="s">
        <v>57</v>
      </c>
      <c r="I144" s="214">
        <v>0.05</v>
      </c>
      <c r="J144" s="215" t="e">
        <f t="shared" si="13"/>
        <v>#VALUE!</v>
      </c>
      <c r="K144" s="346"/>
      <c r="L144" s="202"/>
    </row>
    <row r="145" spans="1:12" ht="15.75" thickBot="1" x14ac:dyDescent="0.3">
      <c r="A145" s="147" t="str">
        <f>+'Anx I pg 1 oferta'!$B$18&amp;"T3_L07_inst_"&amp;B141&amp;"DA5"</f>
        <v>T3_L07_inst_L07-14DA5</v>
      </c>
      <c r="B145" s="350"/>
      <c r="C145" s="353"/>
      <c r="D145" s="356"/>
      <c r="E145" s="359"/>
      <c r="F145" s="362"/>
      <c r="G145" s="344"/>
      <c r="H145" s="213" t="s">
        <v>364</v>
      </c>
      <c r="I145" s="214">
        <v>0.5</v>
      </c>
      <c r="J145" s="215" t="e">
        <f>+IF($K$141&gt;0,+$K$141-SUM(J141:J144),"")</f>
        <v>#VALUE!</v>
      </c>
      <c r="K145" s="347"/>
      <c r="L145" s="202"/>
    </row>
    <row r="146" spans="1:12" ht="15.75" thickBot="1" x14ac:dyDescent="0.3">
      <c r="A146" s="147" t="str">
        <f>+'Anx I pg 1 oferta'!$B$18&amp;"T3_L07_inst_"&amp;B146&amp;"DA1"</f>
        <v>T3_L07_inst_L07-15DA1</v>
      </c>
      <c r="B146" s="348" t="s">
        <v>307</v>
      </c>
      <c r="C146" s="351" t="str">
        <f>+VLOOKUP(B146,'DATOS CENTROS'!B:E,2,FALSE)</f>
        <v>Calle  Lluis Companys 1 Planta 9  25003</v>
      </c>
      <c r="D146" s="354" t="str">
        <f>+VLOOKUP(B146,'DATOS CENTROS'!B:E,3,FALSE)</f>
        <v>C</v>
      </c>
      <c r="E146" s="357" t="str">
        <f>+VLOOKUP(B146,'DATOS CENTROS'!B:E,4,FALSE)</f>
        <v>U.I. RTVE Lleida</v>
      </c>
      <c r="F146" s="360">
        <f>+VLOOKUP(B146,'DATOS CENTROS'!B:F,5,FALSE)</f>
        <v>1.7999999999999999E-2</v>
      </c>
      <c r="G146" s="342" t="str">
        <f>+IF(G57&gt;0,G57,"")</f>
        <v/>
      </c>
      <c r="H146" s="213" t="s">
        <v>25</v>
      </c>
      <c r="I146" s="214">
        <v>0.15</v>
      </c>
      <c r="J146" s="215" t="e">
        <f>+IF($K$146&gt;0,+ROUND($K$146*I146,0),"")</f>
        <v>#VALUE!</v>
      </c>
      <c r="K146" s="345" t="str">
        <f>+IFERROR(IF(OR($G$18=0,LEN($G$18)=0),"",IF(AND(M57="ok",(H57/H57)=1),N57,"")),"¿?")</f>
        <v/>
      </c>
      <c r="L146" s="202"/>
    </row>
    <row r="147" spans="1:12" ht="15.75" thickBot="1" x14ac:dyDescent="0.3">
      <c r="A147" s="147" t="str">
        <f>+'Anx I pg 1 oferta'!$B$18&amp;"T3_L07_inst_"&amp;B146&amp;"DA2"</f>
        <v>T3_L07_inst_L07-15DA2</v>
      </c>
      <c r="B147" s="349"/>
      <c r="C147" s="352"/>
      <c r="D147" s="355"/>
      <c r="E147" s="358"/>
      <c r="F147" s="361"/>
      <c r="G147" s="343"/>
      <c r="H147" s="213" t="s">
        <v>26</v>
      </c>
      <c r="I147" s="214">
        <v>0.1</v>
      </c>
      <c r="J147" s="215" t="e">
        <f t="shared" ref="J147:J149" si="14">+IF($K$146&gt;0,+ROUND($K$146*I147,0),"")</f>
        <v>#VALUE!</v>
      </c>
      <c r="K147" s="346"/>
      <c r="L147" s="202"/>
    </row>
    <row r="148" spans="1:12" ht="15.75" thickBot="1" x14ac:dyDescent="0.3">
      <c r="A148" s="147" t="str">
        <f>+'Anx I pg 1 oferta'!$B$18&amp;"T3_L07_inst_"&amp;B146&amp;"DA3"</f>
        <v>T3_L07_inst_L07-15DA3</v>
      </c>
      <c r="B148" s="349"/>
      <c r="C148" s="352"/>
      <c r="D148" s="355"/>
      <c r="E148" s="358"/>
      <c r="F148" s="361"/>
      <c r="G148" s="343"/>
      <c r="H148" s="213" t="s">
        <v>27</v>
      </c>
      <c r="I148" s="214">
        <v>0.2</v>
      </c>
      <c r="J148" s="215" t="e">
        <f t="shared" si="14"/>
        <v>#VALUE!</v>
      </c>
      <c r="K148" s="346"/>
      <c r="L148" s="202"/>
    </row>
    <row r="149" spans="1:12" ht="15.75" thickBot="1" x14ac:dyDescent="0.3">
      <c r="A149" s="147" t="str">
        <f>+'Anx I pg 1 oferta'!$B$18&amp;"T3_L07_inst_"&amp;B146&amp;"DA4"</f>
        <v>T3_L07_inst_L07-15DA4</v>
      </c>
      <c r="B149" s="349"/>
      <c r="C149" s="352"/>
      <c r="D149" s="355"/>
      <c r="E149" s="358"/>
      <c r="F149" s="361"/>
      <c r="G149" s="343"/>
      <c r="H149" s="213" t="s">
        <v>57</v>
      </c>
      <c r="I149" s="214">
        <v>0.05</v>
      </c>
      <c r="J149" s="215" t="e">
        <f t="shared" si="14"/>
        <v>#VALUE!</v>
      </c>
      <c r="K149" s="346"/>
      <c r="L149" s="202"/>
    </row>
    <row r="150" spans="1:12" ht="15.75" thickBot="1" x14ac:dyDescent="0.3">
      <c r="A150" s="147" t="str">
        <f>+'Anx I pg 1 oferta'!$B$18&amp;"T3_L07_inst_"&amp;B146&amp;"DA5"</f>
        <v>T3_L07_inst_L07-15DA5</v>
      </c>
      <c r="B150" s="350"/>
      <c r="C150" s="353"/>
      <c r="D150" s="356"/>
      <c r="E150" s="359"/>
      <c r="F150" s="362"/>
      <c r="G150" s="344"/>
      <c r="H150" s="213" t="s">
        <v>364</v>
      </c>
      <c r="I150" s="214">
        <v>0.5</v>
      </c>
      <c r="J150" s="215" t="e">
        <f>+IF($K$146&gt;0,+$K$146-SUM(J146:J149),"")</f>
        <v>#VALUE!</v>
      </c>
      <c r="K150" s="347"/>
      <c r="L150" s="202"/>
    </row>
    <row r="151" spans="1:12" ht="15.75" thickBot="1" x14ac:dyDescent="0.3">
      <c r="A151" s="147" t="str">
        <f>+'Anx I pg 1 oferta'!$B$18&amp;"T3_L07_inst_"&amp;B151&amp;"DA1"</f>
        <v>T3_L07_inst_L07-16DA1</v>
      </c>
      <c r="B151" s="348" t="s">
        <v>309</v>
      </c>
      <c r="C151" s="351" t="str">
        <f>+VLOOKUP(B151,'DATOS CENTROS'!B:E,2,FALSE)</f>
        <v>Avenida  President Lluis Companys 12 Pl. -2  C4 43350</v>
      </c>
      <c r="D151" s="354" t="str">
        <f>+VLOOKUP(B151,'DATOS CENTROS'!B:E,3,FALSE)</f>
        <v>C</v>
      </c>
      <c r="E151" s="357" t="str">
        <f>+VLOOKUP(B151,'DATOS CENTROS'!B:E,4,FALSE)</f>
        <v>U.I. TVE Tarragona</v>
      </c>
      <c r="F151" s="360">
        <f>+VLOOKUP(B151,'DATOS CENTROS'!B:F,5,FALSE)</f>
        <v>0.01</v>
      </c>
      <c r="G151" s="342" t="str">
        <f>+IF(G59&gt;0,G59,"")</f>
        <v/>
      </c>
      <c r="H151" s="213" t="s">
        <v>25</v>
      </c>
      <c r="I151" s="214">
        <v>0.15</v>
      </c>
      <c r="J151" s="215" t="e">
        <f>+IF($K$151&gt;0,+ROUND($K$151*I151,0),"")</f>
        <v>#VALUE!</v>
      </c>
      <c r="K151" s="345" t="str">
        <f>+IFERROR(IF(OR($G$18=0,LEN($G$18)=0),"",IF(AND(M59="ok",(H59/H59)=1),N59,"")),"¿?")</f>
        <v/>
      </c>
      <c r="L151" s="202"/>
    </row>
    <row r="152" spans="1:12" ht="15.75" thickBot="1" x14ac:dyDescent="0.3">
      <c r="A152" s="147" t="str">
        <f>+'Anx I pg 1 oferta'!$B$18&amp;"T3_L07_inst_"&amp;B151&amp;"DA2"</f>
        <v>T3_L07_inst_L07-16DA2</v>
      </c>
      <c r="B152" s="349"/>
      <c r="C152" s="352"/>
      <c r="D152" s="355"/>
      <c r="E152" s="358"/>
      <c r="F152" s="361"/>
      <c r="G152" s="343"/>
      <c r="H152" s="213" t="s">
        <v>26</v>
      </c>
      <c r="I152" s="214">
        <v>0.1</v>
      </c>
      <c r="J152" s="215" t="e">
        <f t="shared" ref="J152:J154" si="15">+IF($K$151&gt;0,+ROUND($K$151*I152,0),"")</f>
        <v>#VALUE!</v>
      </c>
      <c r="K152" s="346"/>
      <c r="L152" s="202"/>
    </row>
    <row r="153" spans="1:12" ht="15.75" thickBot="1" x14ac:dyDescent="0.3">
      <c r="A153" s="147" t="str">
        <f>+'Anx I pg 1 oferta'!$B$18&amp;"T3_L07_inst_"&amp;B151&amp;"DA3"</f>
        <v>T3_L07_inst_L07-16DA3</v>
      </c>
      <c r="B153" s="349"/>
      <c r="C153" s="352"/>
      <c r="D153" s="355"/>
      <c r="E153" s="358"/>
      <c r="F153" s="361"/>
      <c r="G153" s="343"/>
      <c r="H153" s="213" t="s">
        <v>27</v>
      </c>
      <c r="I153" s="214">
        <v>0.2</v>
      </c>
      <c r="J153" s="215" t="e">
        <f t="shared" si="15"/>
        <v>#VALUE!</v>
      </c>
      <c r="K153" s="346"/>
      <c r="L153" s="202"/>
    </row>
    <row r="154" spans="1:12" ht="15.75" thickBot="1" x14ac:dyDescent="0.3">
      <c r="A154" s="147" t="str">
        <f>+'Anx I pg 1 oferta'!$B$18&amp;"T3_L07_inst_"&amp;B151&amp;"DA4"</f>
        <v>T3_L07_inst_L07-16DA4</v>
      </c>
      <c r="B154" s="349"/>
      <c r="C154" s="352"/>
      <c r="D154" s="355"/>
      <c r="E154" s="358"/>
      <c r="F154" s="361"/>
      <c r="G154" s="343"/>
      <c r="H154" s="213" t="s">
        <v>57</v>
      </c>
      <c r="I154" s="214">
        <v>0.05</v>
      </c>
      <c r="J154" s="215" t="e">
        <f t="shared" si="15"/>
        <v>#VALUE!</v>
      </c>
      <c r="K154" s="346"/>
      <c r="L154" s="202"/>
    </row>
    <row r="155" spans="1:12" ht="15.75" thickBot="1" x14ac:dyDescent="0.3">
      <c r="A155" s="147" t="str">
        <f>+'Anx I pg 1 oferta'!$B$18&amp;"T3_L07_inst_"&amp;B151&amp;"DA5"</f>
        <v>T3_L07_inst_L07-16DA5</v>
      </c>
      <c r="B155" s="350"/>
      <c r="C155" s="353"/>
      <c r="D155" s="356"/>
      <c r="E155" s="359"/>
      <c r="F155" s="362"/>
      <c r="G155" s="344"/>
      <c r="H155" s="213" t="s">
        <v>364</v>
      </c>
      <c r="I155" s="214">
        <v>0.5</v>
      </c>
      <c r="J155" s="215" t="e">
        <f>+IF($K$151&gt;0,+$K$151-SUM(J151:J154),"")</f>
        <v>#VALUE!</v>
      </c>
      <c r="K155" s="347"/>
      <c r="L155" s="202"/>
    </row>
    <row r="156" spans="1:12" ht="15.75" hidden="1" customHeight="1" thickBot="1" x14ac:dyDescent="0.3">
      <c r="A156" s="147" t="s">
        <v>544</v>
      </c>
      <c r="B156" s="348"/>
      <c r="C156" s="351"/>
      <c r="D156" s="354"/>
      <c r="E156" s="357"/>
      <c r="F156" s="360"/>
      <c r="G156" s="342"/>
      <c r="H156" s="213"/>
      <c r="I156" s="214"/>
      <c r="J156" s="215"/>
      <c r="K156" s="345"/>
      <c r="L156" s="202"/>
    </row>
    <row r="157" spans="1:12" ht="15.75" hidden="1" thickBot="1" x14ac:dyDescent="0.3">
      <c r="A157" s="147" t="s">
        <v>544</v>
      </c>
      <c r="B157" s="349"/>
      <c r="C157" s="352"/>
      <c r="D157" s="355"/>
      <c r="E157" s="358"/>
      <c r="F157" s="361"/>
      <c r="G157" s="343"/>
      <c r="H157" s="213"/>
      <c r="I157" s="214"/>
      <c r="J157" s="215"/>
      <c r="K157" s="346"/>
      <c r="L157" s="202"/>
    </row>
    <row r="158" spans="1:12" ht="15.75" hidden="1" thickBot="1" x14ac:dyDescent="0.3">
      <c r="A158" s="147" t="s">
        <v>544</v>
      </c>
      <c r="B158" s="349"/>
      <c r="C158" s="352"/>
      <c r="D158" s="355"/>
      <c r="E158" s="358"/>
      <c r="F158" s="361"/>
      <c r="G158" s="343"/>
      <c r="H158" s="213"/>
      <c r="I158" s="214"/>
      <c r="J158" s="215"/>
      <c r="K158" s="346"/>
      <c r="L158" s="202"/>
    </row>
    <row r="159" spans="1:12" ht="15.75" hidden="1" thickBot="1" x14ac:dyDescent="0.3">
      <c r="A159" s="147" t="s">
        <v>544</v>
      </c>
      <c r="B159" s="349"/>
      <c r="C159" s="352"/>
      <c r="D159" s="355"/>
      <c r="E159" s="358"/>
      <c r="F159" s="361"/>
      <c r="G159" s="343"/>
      <c r="H159" s="213"/>
      <c r="I159" s="214"/>
      <c r="J159" s="215"/>
      <c r="K159" s="346"/>
      <c r="L159" s="202"/>
    </row>
    <row r="160" spans="1:12" ht="15.75" hidden="1" thickBot="1" x14ac:dyDescent="0.3">
      <c r="A160" s="147" t="s">
        <v>544</v>
      </c>
      <c r="B160" s="350"/>
      <c r="C160" s="353"/>
      <c r="D160" s="356"/>
      <c r="E160" s="359"/>
      <c r="F160" s="362"/>
      <c r="G160" s="344"/>
      <c r="H160" s="213"/>
      <c r="I160" s="214"/>
      <c r="J160" s="215"/>
      <c r="K160" s="347"/>
      <c r="L160" s="202"/>
    </row>
    <row r="161" spans="1:12" ht="15.75" hidden="1" thickBot="1" x14ac:dyDescent="0.3">
      <c r="A161" s="147" t="s">
        <v>544</v>
      </c>
      <c r="B161" s="348"/>
      <c r="C161" s="351"/>
      <c r="D161" s="354"/>
      <c r="E161" s="357"/>
      <c r="F161" s="360"/>
      <c r="G161" s="342"/>
      <c r="H161" s="213"/>
      <c r="I161" s="214"/>
      <c r="J161" s="215"/>
      <c r="K161" s="345"/>
      <c r="L161" s="202"/>
    </row>
    <row r="162" spans="1:12" ht="15.75" hidden="1" thickBot="1" x14ac:dyDescent="0.3">
      <c r="A162" s="147" t="s">
        <v>544</v>
      </c>
      <c r="B162" s="349"/>
      <c r="C162" s="352"/>
      <c r="D162" s="355"/>
      <c r="E162" s="358"/>
      <c r="F162" s="361"/>
      <c r="G162" s="343"/>
      <c r="H162" s="213"/>
      <c r="I162" s="214"/>
      <c r="J162" s="215"/>
      <c r="K162" s="346"/>
      <c r="L162" s="202"/>
    </row>
    <row r="163" spans="1:12" ht="15.75" hidden="1" thickBot="1" x14ac:dyDescent="0.3">
      <c r="A163" s="147" t="s">
        <v>544</v>
      </c>
      <c r="B163" s="349"/>
      <c r="C163" s="352"/>
      <c r="D163" s="355"/>
      <c r="E163" s="358"/>
      <c r="F163" s="361"/>
      <c r="G163" s="343"/>
      <c r="H163" s="213"/>
      <c r="I163" s="214"/>
      <c r="J163" s="215"/>
      <c r="K163" s="346"/>
      <c r="L163" s="202"/>
    </row>
    <row r="164" spans="1:12" ht="15.75" hidden="1" thickBot="1" x14ac:dyDescent="0.3">
      <c r="A164" s="147" t="s">
        <v>544</v>
      </c>
      <c r="B164" s="349"/>
      <c r="C164" s="352"/>
      <c r="D164" s="355"/>
      <c r="E164" s="358"/>
      <c r="F164" s="361"/>
      <c r="G164" s="343"/>
      <c r="H164" s="213"/>
      <c r="I164" s="214"/>
      <c r="J164" s="215"/>
      <c r="K164" s="346"/>
      <c r="L164" s="202"/>
    </row>
    <row r="165" spans="1:12" ht="15.75" hidden="1" thickBot="1" x14ac:dyDescent="0.3">
      <c r="A165" s="147" t="s">
        <v>544</v>
      </c>
      <c r="B165" s="350"/>
      <c r="C165" s="353"/>
      <c r="D165" s="356"/>
      <c r="E165" s="359"/>
      <c r="F165" s="362"/>
      <c r="G165" s="344"/>
      <c r="H165" s="213"/>
      <c r="I165" s="214"/>
      <c r="J165" s="215"/>
      <c r="K165" s="347"/>
      <c r="L165" s="202"/>
    </row>
    <row r="166" spans="1:12" x14ac:dyDescent="0.25">
      <c r="A166" s="147" t="str">
        <f>+'Anx I pg 1 oferta'!$B$18&amp;"T3_L07_TOT"</f>
        <v>T3_L07_TOT</v>
      </c>
      <c r="B166" s="278" t="s">
        <v>390</v>
      </c>
      <c r="C166" s="122"/>
      <c r="D166" s="122"/>
      <c r="E166" s="122"/>
      <c r="F166" s="285">
        <f>SUM(F76:F165)</f>
        <v>1</v>
      </c>
      <c r="G166" s="285">
        <f>SUM(G76:G165)</f>
        <v>0</v>
      </c>
      <c r="H166" s="122"/>
      <c r="I166" s="122"/>
      <c r="J166" s="287" t="e">
        <f>SUM(J76:J165)</f>
        <v>#VALUE!</v>
      </c>
      <c r="K166" s="287">
        <f>SUM(K76:K165)</f>
        <v>0</v>
      </c>
    </row>
    <row r="167" spans="1:12" x14ac:dyDescent="0.25">
      <c r="A167" s="147" t="s">
        <v>544</v>
      </c>
      <c r="B167" s="122" t="s">
        <v>390</v>
      </c>
      <c r="C167" s="122"/>
      <c r="D167" s="122"/>
      <c r="E167" s="122"/>
      <c r="F167" s="122"/>
      <c r="G167" s="122"/>
      <c r="H167" s="122"/>
      <c r="I167" s="122"/>
      <c r="J167" s="122"/>
      <c r="K167" s="122"/>
    </row>
    <row r="168" spans="1:12" x14ac:dyDescent="0.25">
      <c r="A168" s="147" t="s">
        <v>544</v>
      </c>
      <c r="B168" s="122" t="s">
        <v>390</v>
      </c>
      <c r="C168" s="122"/>
      <c r="D168" s="122"/>
      <c r="E168" s="122"/>
      <c r="F168" s="122"/>
      <c r="G168" s="122"/>
      <c r="H168" s="122"/>
      <c r="I168" s="122"/>
      <c r="J168" s="122"/>
      <c r="K168" s="122"/>
    </row>
    <row r="169" spans="1:12" x14ac:dyDescent="0.25">
      <c r="A169" s="122" t="s">
        <v>542</v>
      </c>
      <c r="B169" s="122" t="s">
        <v>390</v>
      </c>
      <c r="C169" s="122"/>
      <c r="D169" s="122"/>
      <c r="E169" s="122"/>
      <c r="F169" s="122"/>
      <c r="G169" s="122"/>
      <c r="H169" s="122"/>
      <c r="I169" s="122" t="s">
        <v>372</v>
      </c>
      <c r="J169" s="284" t="e">
        <f>+J76+J81+J86+J91+J96+J101+J106+J111+J116+J121+J126+J131+J136+J141+J146+J151+J156+J161</f>
        <v>#VALUE!</v>
      </c>
      <c r="K169" s="122"/>
    </row>
    <row r="170" spans="1:12" x14ac:dyDescent="0.25">
      <c r="A170" s="122" t="s">
        <v>542</v>
      </c>
      <c r="B170" s="122" t="s">
        <v>390</v>
      </c>
      <c r="C170" s="122"/>
      <c r="D170" s="122"/>
      <c r="E170" s="122"/>
      <c r="F170" s="122"/>
      <c r="G170" s="122"/>
      <c r="H170" s="122"/>
      <c r="I170" s="122" t="s">
        <v>374</v>
      </c>
      <c r="J170" s="284" t="e">
        <f t="shared" ref="J170:J173" si="16">+J77+J82+J87+J92+J97+J102+J107+J112+J117+J122+J127+J132+J137+J142+J147+J152+J157+J162</f>
        <v>#VALUE!</v>
      </c>
      <c r="K170" s="122"/>
    </row>
    <row r="171" spans="1:12" x14ac:dyDescent="0.25">
      <c r="A171" s="122" t="s">
        <v>542</v>
      </c>
      <c r="B171" s="122" t="s">
        <v>390</v>
      </c>
      <c r="C171" s="122"/>
      <c r="D171" s="122"/>
      <c r="E171" s="122"/>
      <c r="F171" s="122"/>
      <c r="G171" s="122"/>
      <c r="H171" s="122"/>
      <c r="I171" s="122" t="s">
        <v>373</v>
      </c>
      <c r="J171" s="284" t="e">
        <f t="shared" si="16"/>
        <v>#VALUE!</v>
      </c>
      <c r="K171" s="122"/>
    </row>
    <row r="172" spans="1:12" x14ac:dyDescent="0.25">
      <c r="A172" s="122" t="s">
        <v>542</v>
      </c>
      <c r="B172" s="122" t="s">
        <v>390</v>
      </c>
      <c r="C172" s="122"/>
      <c r="D172" s="122"/>
      <c r="E172" s="122"/>
      <c r="F172" s="122"/>
      <c r="G172" s="122"/>
      <c r="H172" s="122"/>
      <c r="I172" s="122" t="s">
        <v>375</v>
      </c>
      <c r="J172" s="284" t="e">
        <f t="shared" si="16"/>
        <v>#VALUE!</v>
      </c>
      <c r="K172" s="122"/>
    </row>
    <row r="173" spans="1:12" x14ac:dyDescent="0.25">
      <c r="A173" s="122" t="s">
        <v>542</v>
      </c>
      <c r="B173" s="122" t="s">
        <v>390</v>
      </c>
      <c r="C173" s="122"/>
      <c r="D173" s="122"/>
      <c r="E173" s="122"/>
      <c r="F173" s="122"/>
      <c r="G173" s="122"/>
      <c r="H173" s="122"/>
      <c r="I173" s="122" t="s">
        <v>376</v>
      </c>
      <c r="J173" s="284" t="e">
        <f t="shared" si="16"/>
        <v>#VALUE!</v>
      </c>
      <c r="K173" s="122"/>
    </row>
    <row r="174" spans="1:12" x14ac:dyDescent="0.25">
      <c r="A174" s="147" t="s">
        <v>542</v>
      </c>
      <c r="B174" s="122" t="s">
        <v>390</v>
      </c>
      <c r="C174" s="122"/>
      <c r="D174" s="122"/>
      <c r="E174" s="122"/>
      <c r="F174" s="122"/>
      <c r="G174" s="122"/>
      <c r="H174" s="122"/>
      <c r="I174" s="122" t="s">
        <v>371</v>
      </c>
      <c r="J174" s="284" t="e">
        <f>SUM(J169:J173)</f>
        <v>#VALUE!</v>
      </c>
      <c r="K174" s="122"/>
    </row>
  </sheetData>
  <sheetProtection algorithmName="SHA-512" hashValue="1arDG4wgrvo/VfVNNpXO2KrtG5m3axOfV9nduyVWpJvUDUIbOZF+8rjWfhvVdtw7xpsbv8k942UwLLWuGgq0dQ==" saltValue="uSYmSmPAMa0sK3ymipClhg==" spinCount="100000" sheet="1" objects="1" scenarios="1" selectLockedCells="1"/>
  <mergeCells count="135">
    <mergeCell ref="B151:B155"/>
    <mergeCell ref="C151:C155"/>
    <mergeCell ref="D151:D155"/>
    <mergeCell ref="E151:E155"/>
    <mergeCell ref="F151:F155"/>
    <mergeCell ref="G151:G155"/>
    <mergeCell ref="K151:K155"/>
    <mergeCell ref="G156:G160"/>
    <mergeCell ref="K156:K160"/>
    <mergeCell ref="B161:B165"/>
    <mergeCell ref="C161:C165"/>
    <mergeCell ref="D161:D165"/>
    <mergeCell ref="E161:E165"/>
    <mergeCell ref="F161:F165"/>
    <mergeCell ref="G161:G165"/>
    <mergeCell ref="K161:K165"/>
    <mergeCell ref="B156:B160"/>
    <mergeCell ref="C156:C160"/>
    <mergeCell ref="D156:D160"/>
    <mergeCell ref="E156:E160"/>
    <mergeCell ref="F156:F160"/>
    <mergeCell ref="B146:B150"/>
    <mergeCell ref="C146:C150"/>
    <mergeCell ref="D146:D150"/>
    <mergeCell ref="E146:E150"/>
    <mergeCell ref="F146:F150"/>
    <mergeCell ref="G136:G140"/>
    <mergeCell ref="K136:K140"/>
    <mergeCell ref="B141:B145"/>
    <mergeCell ref="C141:C145"/>
    <mergeCell ref="D141:D145"/>
    <mergeCell ref="E141:E145"/>
    <mergeCell ref="F141:F145"/>
    <mergeCell ref="G141:G145"/>
    <mergeCell ref="K141:K145"/>
    <mergeCell ref="B136:B140"/>
    <mergeCell ref="C136:C140"/>
    <mergeCell ref="D136:D140"/>
    <mergeCell ref="E136:E140"/>
    <mergeCell ref="F136:F140"/>
    <mergeCell ref="G146:G150"/>
    <mergeCell ref="K146:K150"/>
    <mergeCell ref="G126:G130"/>
    <mergeCell ref="K126:K130"/>
    <mergeCell ref="B131:B135"/>
    <mergeCell ref="C131:C135"/>
    <mergeCell ref="D131:D135"/>
    <mergeCell ref="E131:E135"/>
    <mergeCell ref="F131:F135"/>
    <mergeCell ref="G131:G135"/>
    <mergeCell ref="K131:K135"/>
    <mergeCell ref="B126:B130"/>
    <mergeCell ref="C126:C130"/>
    <mergeCell ref="D126:D130"/>
    <mergeCell ref="E126:E130"/>
    <mergeCell ref="F126:F130"/>
    <mergeCell ref="G116:G120"/>
    <mergeCell ref="K116:K120"/>
    <mergeCell ref="B121:B125"/>
    <mergeCell ref="C121:C125"/>
    <mergeCell ref="D121:D125"/>
    <mergeCell ref="E121:E125"/>
    <mergeCell ref="F121:F125"/>
    <mergeCell ref="G121:G125"/>
    <mergeCell ref="K121:K125"/>
    <mergeCell ref="B116:B120"/>
    <mergeCell ref="C116:C120"/>
    <mergeCell ref="D116:D120"/>
    <mergeCell ref="E116:E120"/>
    <mergeCell ref="F116:F120"/>
    <mergeCell ref="G106:G110"/>
    <mergeCell ref="K106:K110"/>
    <mergeCell ref="B111:B115"/>
    <mergeCell ref="C111:C115"/>
    <mergeCell ref="D111:D115"/>
    <mergeCell ref="E111:E115"/>
    <mergeCell ref="F111:F115"/>
    <mergeCell ref="G111:G115"/>
    <mergeCell ref="K111:K115"/>
    <mergeCell ref="B106:B110"/>
    <mergeCell ref="C106:C110"/>
    <mergeCell ref="D106:D110"/>
    <mergeCell ref="E106:E110"/>
    <mergeCell ref="F106:F110"/>
    <mergeCell ref="G96:G100"/>
    <mergeCell ref="K96:K100"/>
    <mergeCell ref="B101:B105"/>
    <mergeCell ref="C101:C105"/>
    <mergeCell ref="D101:D105"/>
    <mergeCell ref="E101:E105"/>
    <mergeCell ref="F101:F105"/>
    <mergeCell ref="G101:G105"/>
    <mergeCell ref="K101:K105"/>
    <mergeCell ref="B96:B100"/>
    <mergeCell ref="C96:C100"/>
    <mergeCell ref="D96:D100"/>
    <mergeCell ref="E96:E100"/>
    <mergeCell ref="F96:F100"/>
    <mergeCell ref="G86:G90"/>
    <mergeCell ref="K86:K90"/>
    <mergeCell ref="B91:B95"/>
    <mergeCell ref="C91:C95"/>
    <mergeCell ref="D91:D95"/>
    <mergeCell ref="E91:E95"/>
    <mergeCell ref="F91:F95"/>
    <mergeCell ref="G91:G95"/>
    <mergeCell ref="K91:K95"/>
    <mergeCell ref="B86:B90"/>
    <mergeCell ref="C86:C90"/>
    <mergeCell ref="D86:D90"/>
    <mergeCell ref="E86:E90"/>
    <mergeCell ref="F86:F90"/>
    <mergeCell ref="B81:B85"/>
    <mergeCell ref="C81:C85"/>
    <mergeCell ref="D81:D85"/>
    <mergeCell ref="E81:E85"/>
    <mergeCell ref="F81:F85"/>
    <mergeCell ref="G81:G85"/>
    <mergeCell ref="K81:K85"/>
    <mergeCell ref="B76:B80"/>
    <mergeCell ref="C76:C80"/>
    <mergeCell ref="D76:D80"/>
    <mergeCell ref="E76:E80"/>
    <mergeCell ref="F76:F80"/>
    <mergeCell ref="B2:K2"/>
    <mergeCell ref="B8:G8"/>
    <mergeCell ref="C12:F12"/>
    <mergeCell ref="C13:F13"/>
    <mergeCell ref="C14:F14"/>
    <mergeCell ref="C15:F15"/>
    <mergeCell ref="C16:F16"/>
    <mergeCell ref="C17:F17"/>
    <mergeCell ref="G76:G80"/>
    <mergeCell ref="K76:K80"/>
    <mergeCell ref="D20:G20"/>
  </mergeCells>
  <conditionalFormatting sqref="G18">
    <cfRule type="expression" dxfId="56" priority="16">
      <formula>$H$37&lt;0</formula>
    </cfRule>
  </conditionalFormatting>
  <conditionalFormatting sqref="H29 H31 H33 H35">
    <cfRule type="expression" dxfId="55" priority="17">
      <formula>$H$37&lt;0</formula>
    </cfRule>
    <cfRule type="expression" dxfId="54" priority="18">
      <formula>$H$37&gt;0</formula>
    </cfRule>
  </conditionalFormatting>
  <conditionalFormatting sqref="J64 N64 J29:N63">
    <cfRule type="expression" dxfId="53" priority="15">
      <formula>"""ok"""</formula>
    </cfRule>
  </conditionalFormatting>
  <conditionalFormatting sqref="H41 H43 H45">
    <cfRule type="expression" dxfId="52" priority="13">
      <formula>$H$37&lt;0</formula>
    </cfRule>
    <cfRule type="expression" dxfId="51" priority="14">
      <formula>$H$37&gt;0</formula>
    </cfRule>
  </conditionalFormatting>
  <conditionalFormatting sqref="H49 H51 H53 H55">
    <cfRule type="expression" dxfId="50" priority="11">
      <formula>$H$37&lt;0</formula>
    </cfRule>
    <cfRule type="expression" dxfId="49" priority="12">
      <formula>$H$37&gt;0</formula>
    </cfRule>
  </conditionalFormatting>
  <conditionalFormatting sqref="H59 H61 H63">
    <cfRule type="expression" dxfId="48" priority="9">
      <formula>$H$37&lt;0</formula>
    </cfRule>
    <cfRule type="expression" dxfId="47" priority="10">
      <formula>$H$37&gt;0</formula>
    </cfRule>
  </conditionalFormatting>
  <conditionalFormatting sqref="H47">
    <cfRule type="expression" dxfId="46" priority="7">
      <formula>$H$37&lt;0</formula>
    </cfRule>
    <cfRule type="expression" dxfId="45" priority="8">
      <formula>$H$37&gt;0</formula>
    </cfRule>
  </conditionalFormatting>
  <conditionalFormatting sqref="H57">
    <cfRule type="expression" dxfId="44" priority="5">
      <formula>$H$37&lt;0</formula>
    </cfRule>
    <cfRule type="expression" dxfId="43" priority="6">
      <formula>$H$37&gt;0</formula>
    </cfRule>
  </conditionalFormatting>
  <conditionalFormatting sqref="H39">
    <cfRule type="expression" dxfId="42" priority="1">
      <formula>$H$37&lt;0</formula>
    </cfRule>
    <cfRule type="expression" dxfId="41" priority="2">
      <formula>$H$37&gt;0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  <ignoredErrors>
    <ignoredError sqref="C30:C38 C39:C58" formula="1"/>
    <ignoredError sqref="J76:J174" evalError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3C916-C025-4D9C-A31F-7B2A2F552CC1}">
  <sheetPr codeName="Hoja13">
    <pageSetUpPr fitToPage="1"/>
  </sheetPr>
  <dimension ref="A1:W174"/>
  <sheetViews>
    <sheetView showGridLines="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3.42578125" style="2" customWidth="1"/>
    <col min="14" max="14" width="12.570312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501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8 : Comunidad Autónoma de Galicia.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oferta'!$B$18&amp;"T1_L08_cab"</f>
        <v>T1_L08_cab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oferta'!$B$18&amp;"T1_L08_DAB1"</f>
        <v>T1_L08_DAB1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decimales",IF(VLOOKUP(8,'RESUMEN LOTES'!B7:E15,4,FALSE)&lt;G18,"Importe ofertado supera max. € "&amp;VLOOKUP(8,'RESUMEN LOTES'!B7:E15,4,FALSE),IF(COUNTIFS($M$29:$M$64,"ok")&lt;&gt;13,"Debe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+IF(OR($G$18=0,LEN($G$18)=0),"¿?",IF(COUNTIFS($M$29:$M$64,"ok")&lt;&gt;13,"¿?",+IF(C13="Debe revisar Desglose 2 IMPORTE ofertado POR SEDE","¿?",+SUMIFS($J$76:$J$165,$H$76:$H$165,C13))))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oferta'!$B$18&amp;"T1_L08_DAB2"</f>
        <v>T1_L08_DAB2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decimales",IF(VLOOKUP(8,'RESUMEN LOTES'!B7:E15,4,FALSE)&lt;G18,"Importe ofertado supera max. € "&amp;VLOOKUP(8,'RESUMEN LOTES'!B7:E15,4,FALSE),IF(COUNTIFS($M$29:$M$64,"ok")&lt;&gt;13,"Debe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+IF(OR($G$18=0,LEN($G$18)=0),"¿?",IF(COUNTIFS($M$29:$M$64,"ok")&lt;&gt;13,"¿?",+IF(C14="Debe revisar Desglose 2 IMPORTE ofertado POR SEDE","¿?",+SUMIFS($J$76:$J$165,$H$76:$H$165,C14))))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oferta'!$B$18&amp;"T1_L08_DAB3"</f>
        <v>T1_L08_DAB3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decimales",IF(VLOOKUP(8,'RESUMEN LOTES'!B7:E15,4,FALSE)&lt;G18,"Importe ofertado supera max. € "&amp;VLOOKUP(8,'RESUMEN LOTES'!B7:E15,4,FALSE),IF(COUNTIFS($M$29:$M$64,"ok")&lt;&gt;13,"Debe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+IF(OR($G$18=0,LEN($G$18)=0),"¿?",IF(COUNTIFS($M$29:$M$64,"ok")&lt;&gt;13,"¿?",+IF(C15="Debe revisar Desglose 2 IMPORTE ofertado POR SEDE","¿?",+SUMIFS($J$76:$J$165,$H$76:$H$165,C15))))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oferta'!$B$18&amp;"T1_L08_DAB4"</f>
        <v>T1_L08_DAB4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decimales",IF(VLOOKUP(8,'RESUMEN LOTES'!B7:E15,4,FALSE)&lt;G18,"Importe ofertado supera max. € "&amp;VLOOKUP(8,'RESUMEN LOTES'!B7:E15,4,FALSE),IF(COUNTIFS($M$29:$M$64,"ok")&lt;&gt;13,"Debe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+IF(OR($G$18=0,LEN($G$18)=0),"¿?",IF(COUNTIFS($M$29:$M$64,"ok")&lt;&gt;13,"¿?",+IF(C16="Debe revisar Desglose 2 IMPORTE ofertado POR SEDE","¿?",+SUMIFS($J$76:$J$165,$H$76:$H$165,C16))))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oferta'!$B$18&amp;"T1_L08_DAB5"</f>
        <v>T1_L08_DAB5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decimales",IF(VLOOKUP(8,'RESUMEN LOTES'!B7:E15,4,FALSE)&lt;G18,"Importe ofertado supera max. € "&amp;VLOOKUP(8,'RESUMEN LOTES'!B7:E15,4,FALSE),IF(COUNTIFS($M$29:$M$64,"ok")&lt;&gt;13,"Debe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+IF(OR($G$18=0,LEN($G$18)=0),"¿?",IF(COUNTIFS($M$29:$M$64,"ok")&lt;&gt;13,"¿?",+IF(C17="Debe revisar Desglose 2 IMPORTE ofertado POR SEDE","¿?",+SUMIFS($J$76:$J$165,$H$76:$H$165,"Registro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</row>
    <row r="18" spans="1:23" ht="20.100000000000001" customHeight="1" x14ac:dyDescent="0.25">
      <c r="A18" s="147" t="str">
        <f>+'Anx I pg 1 oferta'!$B$18&amp;"T1_L08_TOT"</f>
        <v>T1_L08_TOT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</row>
    <row r="19" spans="1:23" x14ac:dyDescent="0.25">
      <c r="A19" s="147" t="s">
        <v>544</v>
      </c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oferta'!$B$18&amp;"T2_L08_cab0a"</f>
        <v>T2_L08_cab0a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oferta'!$B$18&amp;"T2_L08_cab0b"</f>
        <v>T2_L08_cab0b</v>
      </c>
      <c r="B27" s="163" t="s">
        <v>311</v>
      </c>
      <c r="C27" s="164" t="s">
        <v>362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oferta'!$B$18&amp;"T2_L08_cab1(CA)"</f>
        <v>T2_L08_cab1(CA)</v>
      </c>
      <c r="B28" s="170" t="s">
        <v>390</v>
      </c>
      <c r="C28" s="171" t="s">
        <v>312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21.95" customHeight="1" thickBot="1" x14ac:dyDescent="0.3">
      <c r="A29" s="147" t="str">
        <f>+'Anx I pg 1 oferta'!$B$18&amp;"T2_L08_inst_"&amp;B29</f>
        <v>T2_L08_inst_L08-01</v>
      </c>
      <c r="B29" s="176" t="s">
        <v>313</v>
      </c>
      <c r="C29" s="177" t="str">
        <f>+VLOOKUP(B29,'DATOS CENTROS'!B:F,4,FALSE)</f>
        <v>C.E. OM PASTORIZA - CORUÑA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7.8E-2</v>
      </c>
      <c r="G29" s="181" t="str">
        <f>+IF(OR($G$18=0,LEN($G$18)=0),"",+ROUND(((H29)/$G$18),6))</f>
        <v/>
      </c>
      <c r="H29" s="217"/>
      <c r="J29" s="183"/>
      <c r="K29" s="183"/>
      <c r="L29" s="183"/>
      <c r="M29" s="277" t="str">
        <f>+IFERROR(IF(N29&lt;&gt;TRUNC(N29,2),".+ de 2 decim.",IF(COUNTA($H$29:$H$64)&lt;13,13-COUNTA($H$29:$H$64)&amp;" Items ptes.ofertar ",IF(AND($G$18&gt;0,$H$39&gt;0,(N29)/(N29)=1),"ok","mal"))),"¿max.min.ofertado?")</f>
        <v>¿max.min.ofertado?</v>
      </c>
      <c r="N29" s="183" t="str">
        <f>+IF(OR($G$18=0,LEN($G$18)=0),"",IF(OR($G$18&lt;0,+$G$18/$G$18&lt;&gt;1),"Total oferta Lote incorrecto (no numérico o negativo)",IF(AND($G$18&gt;0,$H$39&gt;0,H29&lt;=0),"¿importe ofertado?",IF(AND($G$18&gt;0,$H$39&lt;0),"acum.of.oferta sede &gt;oferta lote",IF(AND($G$18&gt;0,$H$39&lt;&gt;0,H29&lt;VLOOKUP(B29,'% admitidos'!A:M,11,FALSE)),+"min."&amp;VLOOKUP(B29,'% admitidos'!A:M,11,FALSE),IF(AND($G$18&gt;0,$H$39&gt;0,H29&gt;VLOOKUP(B29,'%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2" customHeight="1" thickBot="1" x14ac:dyDescent="0.3">
      <c r="A30" s="147" t="s">
        <v>542</v>
      </c>
      <c r="B30" s="236" t="s">
        <v>390</v>
      </c>
      <c r="C30" s="24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61"/>
      <c r="E30" s="61"/>
      <c r="F30" s="67"/>
      <c r="G30" s="68"/>
      <c r="H30" s="123"/>
      <c r="J30" s="126"/>
      <c r="K30" s="126"/>
      <c r="L30" s="126"/>
      <c r="M30" s="279"/>
      <c r="N30" s="126"/>
    </row>
    <row r="31" spans="1:23" ht="21.95" customHeight="1" thickBot="1" x14ac:dyDescent="0.3">
      <c r="A31" s="147" t="str">
        <f>+'Anx I pg 1 oferta'!$B$18&amp;"T2_L08_inst_"&amp;B31</f>
        <v>T2_L08_inst_L08-02</v>
      </c>
      <c r="B31" s="176" t="s">
        <v>315</v>
      </c>
      <c r="C31" s="177" t="str">
        <f>+VLOOKUP(B31,'DATOS CENTROS'!B:F,4,FALSE)</f>
        <v>C.E. FM MONTE XALO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5.0999999999999997E-2</v>
      </c>
      <c r="G31" s="181" t="str">
        <f>+IF(OR($G$18=0,LEN($G$18)=0),"",+ROUND(((H31)/$G$18),6))</f>
        <v/>
      </c>
      <c r="H31" s="217"/>
      <c r="J31" s="183"/>
      <c r="K31" s="183"/>
      <c r="L31" s="183"/>
      <c r="M31" s="277" t="str">
        <f>+IFERROR(IF(N31&lt;&gt;TRUNC(N31,2),".+ de 2 decim.",IF(COUNTA($H$29:$H$64)&lt;13,13-COUNTA($H$29:$H$64)&amp;" Items ptes.ofertar ",IF(AND($G$18&gt;0,$H$39&gt;0,(N31)/(N31)=1),"ok","mal"))),"¿max.min.ofertado?")</f>
        <v>¿max.min.ofertado?</v>
      </c>
      <c r="N31" s="183" t="str">
        <f>+IF(OR($G$18=0,LEN($G$18)=0),"",IF(OR($G$18&lt;0,+$G$18/$G$18&lt;&gt;1),"Total oferta Lote incorrecto (no numérico o negativo)",IF(AND($G$18&gt;0,$H$39&gt;0,H31&lt;=0),"¿importe ofertado?",IF(AND($G$18&gt;0,$H$39&lt;0),"acum.of.oferta sede &gt;oferta lote",IF(AND($G$18&gt;0,$H$39&gt;0,H31&lt;VLOOKUP(B31,'% admitidos'!A:M,11,FALSE)),+"min."&amp;VLOOKUP(B31,'% admitidos'!A:M,11,FALSE),IF(AND($G$18&gt;0,$H$39&gt;0,H31&gt;VLOOKUP(B31,'% admitidos'!A:M,13,FALSE)),+"max."&amp;VLOOKUP(B31,'% admitidos'!A:M,13,FALSE),+H31))))))</f>
        <v/>
      </c>
    </row>
    <row r="32" spans="1:23" ht="12" customHeight="1" thickTop="1" thickBot="1" x14ac:dyDescent="0.3">
      <c r="A32" s="147" t="s">
        <v>542</v>
      </c>
      <c r="B32" s="237" t="s">
        <v>390</v>
      </c>
      <c r="C32" s="248" t="str">
        <f>+IF(LEN('Anx I pg 1 oferta'!$C$56)&gt;0,"","min. "&amp;VLOOKUP(B31,'% admitidos'!A:M,11,FALSE)&amp;" - med.  "&amp;VLOOKUP(B31,'% admitidos'!A:M,12,FALSE)&amp;" - max.  "&amp;VLOOKUP(B31,'% admitidos'!A:M,13,FALSE))</f>
        <v>min. 0 - med.  0 - max.  0</v>
      </c>
      <c r="D32" s="135"/>
      <c r="E32" s="135"/>
      <c r="F32" s="136"/>
      <c r="G32" s="137"/>
      <c r="H32" s="138"/>
      <c r="J32" s="126"/>
      <c r="K32" s="126"/>
      <c r="L32" s="126"/>
      <c r="M32" s="279"/>
      <c r="N32" s="126"/>
    </row>
    <row r="33" spans="1:23" ht="21.95" customHeight="1" thickBot="1" x14ac:dyDescent="0.3">
      <c r="A33" s="147" t="str">
        <f>+'Anx I pg 1 oferta'!$B$18&amp;"T2_L08_inst_"&amp;B33</f>
        <v>T2_L08_inst_L08-03</v>
      </c>
      <c r="B33" s="176" t="s">
        <v>317</v>
      </c>
      <c r="C33" s="177" t="str">
        <f>+VLOOKUP(B33,'DATOS CENTROS'!B:F,4,FALSE)</f>
        <v>C.E. OM MESÓN  DEL VIENTO</v>
      </c>
      <c r="D33" s="178"/>
      <c r="E33" s="179" t="str">
        <f>+VLOOKUP(B33,'DATOS CENTROS'!B:F,3,FALSE)</f>
        <v xml:space="preserve"> A + C</v>
      </c>
      <c r="F33" s="180">
        <f>+VLOOKUP(B33,'DATOS CENTROS'!B:F,5,FALSE)</f>
        <v>0.156</v>
      </c>
      <c r="G33" s="181" t="str">
        <f>+IF(OR($G$18=0,LEN($G$18)=0),"",+ROUND(((H33)/$G$18),6))</f>
        <v/>
      </c>
      <c r="H33" s="217"/>
      <c r="J33" s="183"/>
      <c r="K33" s="183"/>
      <c r="L33" s="183"/>
      <c r="M33" s="277" t="str">
        <f>+IFERROR(IF(N33&lt;&gt;TRUNC(N33,2),".+ de 2 decim.",IF(COUNTA($H$29:$H$64)&lt;13,13-COUNTA($H$29:$H$64)&amp;" Items ptes.ofertar ",IF(AND($G$18&gt;0,$H$39&gt;0,(N33)/(N33)=1),"ok","mal"))),"¿max.min.ofertado?")</f>
        <v>¿max.min.ofertado?</v>
      </c>
      <c r="N33" s="183" t="str">
        <f>+IF(OR($G$18=0,LEN($G$18)=0),"",IF(OR($G$18&lt;0,+$G$18/$G$18&lt;&gt;1),"Total oferta Lote incorrecto (no numérico o negativo)",IF(AND($G$18&gt;0,$H$39&gt;0,H33&lt;=0),"¿importe ofertado?",IF(AND($G$18&gt;0,$H$39&lt;0),"acum.of.oferta sede &gt;oferta lote",IF(AND($G$18&gt;0,$H$39&gt;0,H33&lt;VLOOKUP(B33,'% admitidos'!A:M,11,FALSE)),+"min."&amp;VLOOKUP(B33,'% admitidos'!A:M,11,FALSE),IF(AND($G$18&gt;0,$H$39&gt;0,H33&gt;VLOOKUP(B33,'% admitidos'!A:M,13,FALSE)),+"max."&amp;VLOOKUP(B33,'% admitidos'!A:M,13,FALSE),+H33))))))</f>
        <v/>
      </c>
    </row>
    <row r="34" spans="1:23" ht="12" customHeight="1" thickBot="1" x14ac:dyDescent="0.3">
      <c r="A34" s="147" t="s">
        <v>542</v>
      </c>
      <c r="B34" s="236" t="s">
        <v>390</v>
      </c>
      <c r="C34" s="24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61"/>
      <c r="E34" s="61"/>
      <c r="F34" s="67"/>
      <c r="G34" s="67"/>
      <c r="H34" s="123"/>
      <c r="J34" s="126"/>
      <c r="K34" s="126"/>
      <c r="L34" s="126"/>
      <c r="M34" s="279"/>
      <c r="N34" s="126"/>
    </row>
    <row r="35" spans="1:23" ht="21.95" customHeight="1" thickBot="1" x14ac:dyDescent="0.3">
      <c r="A35" s="147" t="str">
        <f>+'Anx I pg 1 oferta'!$B$18&amp;"T2_L08_inst_"&amp;B35</f>
        <v>T2_L08_inst_L08-04</v>
      </c>
      <c r="B35" s="186" t="s">
        <v>319</v>
      </c>
      <c r="C35" s="187" t="str">
        <f>+VLOOKUP(B35,'DATOS CENTROS'!B:F,4,FALSE)</f>
        <v>C.E. OM ARIEIRAS</v>
      </c>
      <c r="D35" s="188"/>
      <c r="E35" s="189" t="str">
        <f>+VLOOKUP(B35,'DATOS CENTROS'!B:F,3,FALSE)</f>
        <v xml:space="preserve"> A + C</v>
      </c>
      <c r="F35" s="220">
        <f>+VLOOKUP(B35,'DATOS CENTROS'!B:F,5,FALSE)</f>
        <v>7.8E-2</v>
      </c>
      <c r="G35" s="190" t="str">
        <f>+IF(OR($G$18=0,LEN($G$18)=0),"",+ROUND(((H35)/$G$18),6))</f>
        <v/>
      </c>
      <c r="H35" s="218"/>
      <c r="J35" s="183"/>
      <c r="K35" s="183"/>
      <c r="L35" s="183"/>
      <c r="M35" s="277" t="str">
        <f>+IFERROR(IF(N35&lt;&gt;TRUNC(N35,2),".+ de 2 decim.",IF(COUNTA($H$29:$H$64)&lt;13,13-COUNTA($H$29:$H$64)&amp;" Items ptes.ofertar ",IF(AND($G$18&gt;0,$H$39&gt;0,(N35)/(N35)=1),"ok","mal"))),"¿max.min.ofertado?")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negativo)",IF(AND($G$18&gt;0,$H$39&gt;0,H35&lt;=0),"¿importe ofertado?",IF(AND($G$18&gt;0,$H$39&lt;0),"acum.of.oferta sede &gt;oferta lote",IF(AND($G$18&gt;0,$H$39&gt;0,H35&lt;VLOOKUP(B35,'% admitidos'!A:M,11,FALSE)),+"min."&amp;VLOOKUP(B35,'% admitidos'!A:M,11,FALSE),IF(AND($G$18&gt;0,$H$39&gt;0,H35&gt;VLOOKUP(B35,'% admitidos'!A:M,13,FALSE)),+"max."&amp;VLOOKUP(B35,'% admitidos'!A:M,13,FALSE),+H35))))))</f>
        <v/>
      </c>
    </row>
    <row r="36" spans="1:23" ht="12" customHeight="1" thickTop="1" thickBot="1" x14ac:dyDescent="0.3">
      <c r="A36" s="147" t="s">
        <v>542</v>
      </c>
      <c r="B36" s="152" t="s">
        <v>390</v>
      </c>
      <c r="C36" s="254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69"/>
      <c r="G36" s="69"/>
      <c r="H36" s="71"/>
      <c r="J36" s="126"/>
      <c r="K36" s="126"/>
      <c r="L36" s="126"/>
      <c r="M36" s="279"/>
      <c r="N36" s="126"/>
    </row>
    <row r="37" spans="1:23" ht="21.95" customHeight="1" thickBot="1" x14ac:dyDescent="0.3">
      <c r="A37" s="147" t="str">
        <f>+'Anx I pg 1 oferta'!$B$18&amp;"T2_L08_inst_"&amp;B37</f>
        <v>T2_L08_inst_L08-05</v>
      </c>
      <c r="B37" s="176" t="s">
        <v>321</v>
      </c>
      <c r="C37" s="177" t="str">
        <f>+VLOOKUP(B37,'DATOS CENTROS'!B:F,4,FALSE)</f>
        <v>C.E. OM PEREIRO</v>
      </c>
      <c r="D37" s="178"/>
      <c r="E37" s="179" t="str">
        <f>+VLOOKUP(B37,'DATOS CENTROS'!B:F,3,FALSE)</f>
        <v xml:space="preserve"> A + C</v>
      </c>
      <c r="F37" s="180">
        <f>+VLOOKUP(B37,'DATOS CENTROS'!B:F,5,FALSE)</f>
        <v>0.125</v>
      </c>
      <c r="G37" s="181" t="str">
        <f>+IF(OR($G$18=0,LEN($G$18)=0),"",+ROUND(((H37)/$G$18),6))</f>
        <v/>
      </c>
      <c r="H37" s="217"/>
      <c r="J37" s="183"/>
      <c r="K37" s="183"/>
      <c r="L37" s="183"/>
      <c r="M37" s="277" t="str">
        <f>+IFERROR(IF(N37&lt;&gt;TRUNC(N37,2),".+ de 2 decim.",IF(COUNTA($H$29:$H$64)&lt;13,13-COUNTA($H$29:$H$64)&amp;" Items ptes.ofertar ",IF(AND($G$18&gt;0,$H$39&gt;0,(N37)/(N37)=1),"ok","mal"))),"¿max.min.ofertado?")</f>
        <v>¿max.min.ofertado?</v>
      </c>
      <c r="N37" s="183" t="str">
        <f>+IF(OR($G$18=0,LEN($G$18)=0),"",IF(OR($G$18&lt;0,+$G$18/$G$18&lt;&gt;1),"Total oferta Lote incorrecto (no numérico o negativo)",IF(AND($G$18&gt;0,$H$39&gt;0,H37&lt;=0),"¿importe ofertado?",IF(AND($G$18&gt;0,$H$39&lt;0),"acum.of.oferta sede &gt;oferta lote",IF(AND($G$18&gt;0,$H$39&gt;0,H37&lt;VLOOKUP(B37,'% admitidos'!A:M,11,FALSE)),+"min."&amp;VLOOKUP(B37,'% admitidos'!A:M,11,FALSE),IF(AND($G$18&gt;0,$H$39&gt;0,H37&gt;VLOOKUP(B37,'% admitidos'!A:M,13,FALSE)),+"max."&amp;+ROUND(VLOOKUP(B37,'% admitidos'!A:M,13,FALSE),4),+H37))))))</f>
        <v/>
      </c>
    </row>
    <row r="38" spans="1:23" ht="12" customHeight="1" thickTop="1" thickBot="1" x14ac:dyDescent="0.3">
      <c r="A38" s="147" t="s">
        <v>542</v>
      </c>
      <c r="B38" s="237" t="s">
        <v>390</v>
      </c>
      <c r="C38" s="248" t="str">
        <f>+IF(LEN('Anx I pg 1 oferta'!$C$56)&gt;0,"","min. "&amp;VLOOKUP(B37,'% admitidos'!A:M,11,FALSE)&amp;" - med.  "&amp;VLOOKUP(B37,'% admitidos'!A:M,12,FALSE)&amp;" - max.  "&amp;+ROUND(VLOOKUP(B37,'% admitidos'!A:M,13,FALSE),6))</f>
        <v>min. 0 - med.  0 - max.  0</v>
      </c>
      <c r="D38" s="135"/>
      <c r="E38" s="135"/>
      <c r="F38" s="135"/>
      <c r="G38" s="135"/>
      <c r="H38" s="144"/>
      <c r="J38" s="107"/>
      <c r="K38" s="107"/>
      <c r="L38" s="107"/>
      <c r="M38" s="279"/>
      <c r="N38" s="107"/>
    </row>
    <row r="39" spans="1:23" ht="21.95" customHeight="1" thickBot="1" x14ac:dyDescent="0.3">
      <c r="A39" s="147" t="str">
        <f>+'Anx I pg 1 oferta'!$B$18&amp;"T2_L08_inst_"&amp;B39</f>
        <v>T2_L08_inst_L08-06</v>
      </c>
      <c r="B39" s="176" t="s">
        <v>323</v>
      </c>
      <c r="C39" s="177" t="str">
        <f>+VLOOKUP(B39,'DATOS CENTROS'!B:F,4,FALSE)</f>
        <v>C.E. OM PASTORIZA - MARIN</v>
      </c>
      <c r="D39" s="178"/>
      <c r="E39" s="179" t="str">
        <f>+VLOOKUP(B39,'DATOS CENTROS'!B:F,3,FALSE)</f>
        <v xml:space="preserve"> A + C</v>
      </c>
      <c r="F39" s="180">
        <f>+VLOOKUP(B39,'DATOS CENTROS'!B:F,5,FALSE)</f>
        <v>0.17899999999999999</v>
      </c>
      <c r="G39" s="195" t="str">
        <f>+IF(OR($G$18=0,LEN($G$18)=0),"",1-SUM(G29:G38)-SUM(G41:G64))</f>
        <v/>
      </c>
      <c r="H39" s="197" t="str">
        <f>+IF(OR($G$18=0,+LEN($G$18)=0),"",+$G$18-SUM(H29:H38)-SUM(H41:H64))</f>
        <v/>
      </c>
      <c r="J39" s="183"/>
      <c r="K39" s="183"/>
      <c r="L39" s="183"/>
      <c r="M39" s="277" t="str">
        <f>+IFERROR(IF(COUNTA($H$29:$H$64)&lt;13,13-COUNTA($H$29:$H$64)&amp;" Items ptes.ofertar ",IF(AND($G$18&gt;0,$H$37&gt;0,(N39)/(N39)=1),"ok","mal")),"¿max.min.ofertado?")</f>
        <v xml:space="preserve">12 Items ptes.ofertar </v>
      </c>
      <c r="N39" s="183" t="str">
        <f>+IF(OR($G$18=0,LEN($G$18)=0),"",IF(OR($G$18&lt;0,+$G$18/$G$18&lt;&gt;1),"Total oferta Lote incorrecto (no numérico o negativo)",IF(AND($G$18&gt;0,$H$39&gt;0,H39&lt;=0),"¿importe ofertado?",IF(AND($G$18&gt;0,$H$39&lt;0),"acum.of.oferta sede &gt;oferta lote",IF(AND($G$18&gt;0,$H$39&lt;&gt;0,H39&lt;VLOOKUP(B39,'% admitidos'!A:M,13,FALSE)),+"MIN."&amp;VLOOKUP(B39,'% admitidos'!A:M,13,FALSE),IF(AND($G$18&gt;0,$H$39&gt;0,H39&gt;VLOOKUP(B39,'% admitidos'!A:M,11,FALSE)),+"MAX."&amp;VLOOKUP(B39,'% admitidos'!A:M,11,FALSE),+H39))))))</f>
        <v/>
      </c>
      <c r="Q39" s="101"/>
      <c r="R39" s="101"/>
      <c r="S39" s="101"/>
      <c r="T39" s="101"/>
      <c r="U39" s="101"/>
      <c r="V39" s="101"/>
      <c r="W39" s="101"/>
    </row>
    <row r="40" spans="1:23" ht="12" customHeight="1" thickBot="1" x14ac:dyDescent="0.3">
      <c r="A40" s="147" t="s">
        <v>542</v>
      </c>
      <c r="B40" s="236" t="s">
        <v>390</v>
      </c>
      <c r="C40" s="240" t="str">
        <f>+IF(LEN('Anx I pg 1 oferta'!$C$56)&gt;0,"","MAX.  "&amp;VLOOKUP(B39,'% admitidos'!A:M,11,FALSE)&amp;" - med.  "&amp;VLOOKUP(B39,'% admitidos'!A:M,12,FALSE)&amp;" - MIN. "&amp;VLOOKUP(B39,'% admitidos'!A:M,13,FALSE))</f>
        <v>MAX.  0 - med.  0 - MIN. 0</v>
      </c>
      <c r="D40" s="61"/>
      <c r="E40" s="61"/>
      <c r="F40" s="67"/>
      <c r="G40" s="68"/>
      <c r="H40" s="123"/>
      <c r="J40" s="126"/>
      <c r="K40" s="126"/>
      <c r="L40" s="126"/>
      <c r="M40" s="279"/>
      <c r="N40" s="126"/>
    </row>
    <row r="41" spans="1:23" ht="21.95" customHeight="1" thickBot="1" x14ac:dyDescent="0.3">
      <c r="A41" s="147" t="str">
        <f>+'Anx I pg 1 oferta'!$B$18&amp;"T2_L08_inst_"&amp;B41</f>
        <v>T2_L08_inst_L08-07</v>
      </c>
      <c r="B41" s="186" t="s">
        <v>325</v>
      </c>
      <c r="C41" s="187" t="str">
        <f>+VLOOKUP(B41,'DATOS CENTROS'!B:F,4,FALSE)</f>
        <v>C.T. RTVE Santiago</v>
      </c>
      <c r="D41" s="188"/>
      <c r="E41" s="189" t="str">
        <f>+VLOOKUP(B41,'DATOS CENTROS'!B:F,3,FALSE)</f>
        <v xml:space="preserve"> A + C</v>
      </c>
      <c r="F41" s="220">
        <f>+VLOOKUP(B41,'DATOS CENTROS'!B:F,5,FALSE)</f>
        <v>0.17499999999999999</v>
      </c>
      <c r="G41" s="190" t="str">
        <f>+IF(OR($G$18=0,LEN($G$18)=0),"",+ROUND(((H41)/$G$18),6))</f>
        <v/>
      </c>
      <c r="H41" s="218"/>
      <c r="J41" s="183"/>
      <c r="K41" s="183"/>
      <c r="L41" s="183"/>
      <c r="M41" s="277" t="str">
        <f>+IFERROR(IF(N41&lt;&gt;TRUNC(N41,2),".+ de 2 decim.",IF(COUNTA($H$29:$H$64)&lt;13,13-COUNTA($H$29:$H$64)&amp;" Items ptes.ofertar ",IF(AND($G$18&gt;0,$H$39&gt;0,(N41)/(N41)=1),"ok","mal"))),"¿max.min.ofertado?")</f>
        <v>¿max.min.ofertado?</v>
      </c>
      <c r="N41" s="183" t="str">
        <f>+IF(OR($G$18=0,LEN($G$18)=0),"",IF(OR($G$18&lt;0,+$G$18/$G$18&lt;&gt;1),"Total oferta Lote incorrecto (no numérico o negativo)",IF(AND($G$18&gt;0,$H$39&gt;0,H41&lt;=0),"¿importe ofertado?",IF(AND($G$18&gt;0,$H$39&lt;0),"acum.of.oferta sede &gt;oferta lote",IF(AND($G$18&gt;0,$H$39&gt;0,H41&lt;VLOOKUP(B41,'% admitidos'!A:M,11,FALSE)),+"min."&amp;VLOOKUP(B41,'% admitidos'!A:M,11,FALSE),IF(AND($G$18&gt;0,$H$39&gt;0,H41&gt;VLOOKUP(B41,'% admitidos'!A:M,13,FALSE)),+"max."&amp;VLOOKUP(B41,'% admitidos'!A:M,13,FALSE),+H41))))))</f>
        <v/>
      </c>
    </row>
    <row r="42" spans="1:23" ht="12" customHeight="1" thickTop="1" thickBot="1" x14ac:dyDescent="0.3">
      <c r="A42" s="147" t="s">
        <v>542</v>
      </c>
      <c r="B42" s="152" t="s">
        <v>390</v>
      </c>
      <c r="C42" s="254" t="str">
        <f>+IF(LEN('Anx I pg 1 oferta'!$C$56)&gt;0,"","min. "&amp;VLOOKUP(B41,'% admitidos'!A:M,11,FALSE)&amp;" - med.  "&amp;VLOOKUP(B41,'% admitidos'!A:M,12,FALSE)&amp;" - max.  "&amp;VLOOKUP(B41,'% admitidos'!A:M,13,FALSE))</f>
        <v>min. 0 - med.  0 - max.  0</v>
      </c>
      <c r="D42" s="54"/>
      <c r="E42" s="54"/>
      <c r="F42" s="69"/>
      <c r="G42" s="70"/>
      <c r="H42" s="124"/>
      <c r="J42" s="126"/>
      <c r="K42" s="126"/>
      <c r="L42" s="126"/>
      <c r="M42" s="279"/>
      <c r="N42" s="126"/>
    </row>
    <row r="43" spans="1:23" ht="21.95" customHeight="1" thickBot="1" x14ac:dyDescent="0.3">
      <c r="A43" s="147" t="str">
        <f>+'Anx I pg 1 oferta'!$B$18&amp;"T2_L08_inst_"&amp;B43</f>
        <v>T2_L08_inst_L08-08</v>
      </c>
      <c r="B43" s="176" t="s">
        <v>327</v>
      </c>
      <c r="C43" s="177" t="str">
        <f>+VLOOKUP(B43,'DATOS CENTROS'!B:F,4,FALSE)</f>
        <v>C.T. RNE Galicia</v>
      </c>
      <c r="D43" s="178"/>
      <c r="E43" s="179" t="str">
        <f>+VLOOKUP(B43,'DATOS CENTROS'!B:F,3,FALSE)</f>
        <v>C</v>
      </c>
      <c r="F43" s="180">
        <f>+VLOOKUP(B43,'DATOS CENTROS'!B:F,5,FALSE)</f>
        <v>2.7E-2</v>
      </c>
      <c r="G43" s="181" t="str">
        <f>+IF(OR($G$18=0,LEN($G$18)=0),"",+ROUND(((H43)/$G$18),6))</f>
        <v/>
      </c>
      <c r="H43" s="217"/>
      <c r="J43" s="183"/>
      <c r="K43" s="183"/>
      <c r="L43" s="183"/>
      <c r="M43" s="277" t="str">
        <f>+IFERROR(IF(N43&lt;&gt;TRUNC(N43,2),".+ de 2 decim.",IF(COUNTA($H$29:$H$64)&lt;13,13-COUNTA($H$29:$H$64)&amp;" Items ptes.ofertar ",IF(AND($G$18&gt;0,$H$39&gt;0,(N43)/(N43)=1),"ok","mal"))),"¿max.min.ofertado?")</f>
        <v>¿max.min.ofertado?</v>
      </c>
      <c r="N43" s="183" t="str">
        <f>+IF(OR($G$18=0,LEN($G$18)=0),"",IF(OR($G$18&lt;0,+$G$18/$G$18&lt;&gt;1),"Total oferta Lote incorrecto (no numérico o negativo)",IF(AND($G$18&gt;0,$H$39&gt;0,H43&lt;=0),"¿importe ofertado?",IF(AND($G$18&gt;0,$H$39&lt;0),"acum.of.oferta sede &gt;oferta lote",IF(AND($G$18&gt;0,$H$39&gt;0,H43&lt;VLOOKUP(B43,'% admitidos'!A:M,11,FALSE)),+"min."&amp;VLOOKUP(B43,'% admitidos'!A:M,11,FALSE),IF(AND($G$18&gt;0,$H$39&gt;0,H43&gt;VLOOKUP(B43,'% admitidos'!A:M,13,FALSE)),+"max."&amp;VLOOKUP(B43,'% admitidos'!A:M,13,FALSE),+H43))))))</f>
        <v/>
      </c>
    </row>
    <row r="44" spans="1:23" ht="12" customHeight="1" thickBot="1" x14ac:dyDescent="0.3">
      <c r="A44" s="147" t="s">
        <v>542</v>
      </c>
      <c r="B44" s="236" t="s">
        <v>390</v>
      </c>
      <c r="C44" s="240" t="str">
        <f>+IF(LEN('Anx I pg 1 oferta'!$C$56)&gt;0,"","min. "&amp;VLOOKUP(B43,'% admitidos'!A:M,11,FALSE)&amp;" - med.  "&amp;VLOOKUP(B43,'% admitidos'!A:M,12,FALSE)&amp;" - max.  "&amp;VLOOKUP(B43,'% admitidos'!A:M,13,FALSE))</f>
        <v>min. 0 - med.  0 - max.  0</v>
      </c>
      <c r="D44" s="61"/>
      <c r="E44" s="61"/>
      <c r="F44" s="67"/>
      <c r="G44" s="67"/>
      <c r="H44" s="123"/>
      <c r="J44" s="126"/>
      <c r="K44" s="126"/>
      <c r="L44" s="126"/>
      <c r="M44" s="279"/>
      <c r="N44" s="126"/>
    </row>
    <row r="45" spans="1:23" ht="21.95" customHeight="1" thickBot="1" x14ac:dyDescent="0.3">
      <c r="A45" s="147" t="str">
        <f>+'Anx I pg 1 oferta'!$B$18&amp;"T2_L08_inst_"&amp;B45</f>
        <v>T2_L08_inst_L08-09</v>
      </c>
      <c r="B45" s="176" t="s">
        <v>329</v>
      </c>
      <c r="C45" s="177" t="str">
        <f>+VLOOKUP(B45,'DATOS CENTROS'!B:F,4,FALSE)</f>
        <v>S.U. Monforte de Lemos</v>
      </c>
      <c r="D45" s="178"/>
      <c r="E45" s="179" t="str">
        <f>+VLOOKUP(B45,'DATOS CENTROS'!B:F,3,FALSE)</f>
        <v>C</v>
      </c>
      <c r="F45" s="180">
        <f>+VLOOKUP(B45,'DATOS CENTROS'!B:F,5,FALSE)</f>
        <v>1.9E-2</v>
      </c>
      <c r="G45" s="181" t="str">
        <f>+IF(OR($G$18=0,LEN($G$18)=0),"",+ROUND(((H45)/$G$18),6))</f>
        <v/>
      </c>
      <c r="H45" s="217"/>
      <c r="J45" s="183"/>
      <c r="K45" s="183"/>
      <c r="L45" s="183"/>
      <c r="M45" s="277" t="str">
        <f>+IFERROR(IF(N45&lt;&gt;TRUNC(N45,2),".+ de 2 decim.",IF(COUNTA($H$29:$H$64)&lt;13,13-COUNTA($H$29:$H$64)&amp;" Items ptes.ofertar ",IF(AND($G$18&gt;0,$H$39&gt;0,(N45)/(N45)=1),"ok","mal"))),"¿max.min.ofertado?")</f>
        <v>¿max.min.ofertado?</v>
      </c>
      <c r="N45" s="183" t="str">
        <f>+IF(OR($G$18=0,LEN($G$18)=0),"",IF(OR($G$18&lt;0,+$G$18/$G$18&lt;&gt;1),"Total oferta Lote incorrecto (no numérico o negativo)",IF(AND($G$18&gt;0,$H$39&gt;0,H45&lt;=0),"¿importe ofertado?",IF(AND($G$18&gt;0,$H$39&lt;0),"acum.of.oferta sede &gt;oferta lote",IF(AND($G$18&gt;0,$H$39&gt;0,H45&lt;VLOOKUP(B45,'% admitidos'!A:M,11,FALSE)),+"min."&amp;VLOOKUP(B45,'% admitidos'!A:M,11,FALSE),IF(AND($G$18&gt;0,$H$39&gt;0,H45&gt;VLOOKUP(B45,'% admitidos'!A:M,13,FALSE)),+"max."&amp;VLOOKUP(B45,'% admitidos'!A:M,13,FALSE),+H45))))))</f>
        <v/>
      </c>
    </row>
    <row r="46" spans="1:23" ht="12" customHeight="1" thickBot="1" x14ac:dyDescent="0.3">
      <c r="A46" s="147" t="s">
        <v>542</v>
      </c>
      <c r="B46" s="236" t="s">
        <v>390</v>
      </c>
      <c r="C46" s="240" t="str">
        <f>+IF(LEN('Anx I pg 1 oferta'!$C$56)&gt;0,"","min. "&amp;VLOOKUP(B45,'% admitidos'!A:M,11,FALSE)&amp;" - med.  "&amp;VLOOKUP(B45,'% admitidos'!A:M,12,FALSE)&amp;" - max.  "&amp;VLOOKUP(B45,'% admitidos'!A:M,13,FALSE))</f>
        <v>min. 0 - med.  0 - max.  0</v>
      </c>
      <c r="D46" s="61"/>
      <c r="E46" s="61"/>
      <c r="F46" s="67"/>
      <c r="G46" s="67"/>
      <c r="H46" s="145"/>
      <c r="J46" s="126"/>
      <c r="K46" s="126"/>
      <c r="L46" s="126"/>
      <c r="M46" s="279"/>
      <c r="N46" s="126"/>
    </row>
    <row r="47" spans="1:23" ht="21.95" customHeight="1" thickBot="1" x14ac:dyDescent="0.3">
      <c r="A47" s="147" t="str">
        <f>+'Anx I pg 1 oferta'!$B$18&amp;"T2_L08_inst_"&amp;B47</f>
        <v>T2_L08_inst_L08-10</v>
      </c>
      <c r="B47" s="191" t="s">
        <v>331</v>
      </c>
      <c r="C47" s="192" t="str">
        <f>+VLOOKUP(B47,'DATOS CENTROS'!B:F,4,FALSE)</f>
        <v>U.I. RTVE Lugo</v>
      </c>
      <c r="D47" s="193"/>
      <c r="E47" s="194" t="str">
        <f>+VLOOKUP(B47,'DATOS CENTROS'!B:F,3,FALSE)</f>
        <v>C</v>
      </c>
      <c r="F47" s="220">
        <f>+VLOOKUP(B47,'DATOS CENTROS'!B:F,5,FALSE)</f>
        <v>2.7E-2</v>
      </c>
      <c r="G47" s="181" t="str">
        <f>+IF(OR($G$18=0,LEN($G$18)=0),"",+ROUND(((H47)/$G$18),6))</f>
        <v/>
      </c>
      <c r="H47" s="219"/>
      <c r="J47" s="183"/>
      <c r="K47" s="183"/>
      <c r="L47" s="183"/>
      <c r="M47" s="277" t="str">
        <f>+IFERROR(IF(N47&lt;&gt;TRUNC(N47,2),".+ de 2 decim.",IF(COUNTA($H$29:$H$64)&lt;13,13-COUNTA($H$29:$H$64)&amp;" Items ptes.ofertar ",IF(AND($G$18&gt;0,$H$39&gt;0,(N47)/(N47)=1),"ok","mal"))),"¿max.min.ofertado?")</f>
        <v>¿max.min.ofertado?</v>
      </c>
      <c r="N47" s="183" t="str">
        <f>+IF(OR($G$18=0,LEN($G$18)=0),"",IF(OR($G$18&lt;0,+$G$18/$G$18&lt;&gt;1),"Total oferta Lote incorrecto (no numérico o negativo)",IF(AND($G$18&gt;0,$H$39&gt;0,H47&lt;=0),"¿importe ofertado?",IF(AND($G$18&gt;0,$H$39&lt;0),"acum.of.oferta sede &gt;oferta lote",IF(AND($G$18&gt;0,$H$39&gt;0,H47&lt;VLOOKUP(B47,'% admitidos'!A:M,11,FALSE)),+"min."&amp;VLOOKUP(B47,'% admitidos'!A:M,11,FALSE),IF(AND($G$18&gt;0,$H$39&gt;0,H47&gt;VLOOKUP(B47,'% admitidos'!A:M,13,FALSE)),+"max."&amp;VLOOKUP(B47,'% admitidos'!A:M,13,FALSE),+H47))))))</f>
        <v/>
      </c>
    </row>
    <row r="48" spans="1:23" ht="12" customHeight="1" thickBot="1" x14ac:dyDescent="0.3">
      <c r="A48" s="147" t="s">
        <v>542</v>
      </c>
      <c r="B48" s="152" t="s">
        <v>390</v>
      </c>
      <c r="C48" s="254" t="str">
        <f>+IF(LEN('Anx I pg 1 oferta'!$C$56)&gt;0,"","min. "&amp;VLOOKUP(B47,'% admitidos'!A:M,11,FALSE)&amp;" - med.  "&amp;VLOOKUP(B47,'% admitidos'!A:M,12,FALSE)&amp;" - max.  "&amp;+ROUND(VLOOKUP(B47,'% admitidos'!A:M,13,FALSE),6))</f>
        <v>min. 0 - med.  0 - max.  0</v>
      </c>
      <c r="D48" s="54"/>
      <c r="E48" s="54"/>
      <c r="F48" s="54"/>
      <c r="G48" s="54"/>
      <c r="H48" s="55"/>
      <c r="J48" s="107"/>
      <c r="K48" s="107"/>
      <c r="L48" s="107"/>
      <c r="M48" s="279"/>
      <c r="N48" s="107"/>
    </row>
    <row r="49" spans="1:23" ht="21.95" customHeight="1" thickBot="1" x14ac:dyDescent="0.3">
      <c r="A49" s="147" t="str">
        <f>+'Anx I pg 1 oferta'!$B$18&amp;"T2_L08_inst_"&amp;B49</f>
        <v>T2_L08_inst_L08-11</v>
      </c>
      <c r="B49" s="176" t="s">
        <v>333</v>
      </c>
      <c r="C49" s="177" t="str">
        <f>+VLOOKUP(B49,'DATOS CENTROS'!B:F,4,FALSE)</f>
        <v>U.I. RTVE Orense</v>
      </c>
      <c r="D49" s="178"/>
      <c r="E49" s="179" t="str">
        <f>+VLOOKUP(B49,'DATOS CENTROS'!B:F,3,FALSE)</f>
        <v>C</v>
      </c>
      <c r="F49" s="180">
        <f>+VLOOKUP(B49,'DATOS CENTROS'!B:F,5,FALSE)</f>
        <v>3.5000000000000003E-2</v>
      </c>
      <c r="G49" s="181" t="str">
        <f>+IF(OR($G$18=0,LEN($G$18)=0),"",+ROUND(((H49)/$G$18),6))</f>
        <v/>
      </c>
      <c r="H49" s="217"/>
      <c r="J49" s="183"/>
      <c r="K49" s="183"/>
      <c r="L49" s="183"/>
      <c r="M49" s="277" t="str">
        <f>+IFERROR(IF(N49&lt;&gt;TRUNC(N49,2),".+ de 2 decim.",IF(COUNTA($H$29:$H$64)&lt;13,13-COUNTA($H$29:$H$64)&amp;" Items ptes.ofertar ",IF(AND($G$18&gt;0,$H$39&gt;0,(N49)/(N49)=1),"ok","mal"))),"¿max.min.ofertado?")</f>
        <v>¿max.min.ofertado?</v>
      </c>
      <c r="N49" s="183" t="str">
        <f>+IF(OR($G$18=0,LEN($G$18)=0),"",IF(OR($G$18&lt;0,+$G$18/$G$18&lt;&gt;1),"Total oferta Lote incorrecto (no numérico o negativo)",IF(AND($G$18&gt;0,$H$39&gt;0,H49&lt;=0),"¿importe ofertado?",IF(AND($G$18&gt;0,$H$39&lt;0),"acum.of.oferta sede &gt;oferta lote",IF(AND($G$18&gt;0,$H$39&lt;&gt;0,H49&lt;VLOOKUP(B49,'% admitidos'!A:M,11,FALSE)),+"min."&amp;VLOOKUP(B49,'% admitidos'!A:M,11,FALSE),IF(AND($G$18&gt;0,$H$39&gt;0,H49&gt;VLOOKUP(B49,'% admitidos'!A:M,13,FALSE)),+"max."&amp;VLOOKUP(B49,'% admitidos'!A:M,13,FALSE),+H49))))))</f>
        <v/>
      </c>
      <c r="Q49" s="101"/>
      <c r="R49" s="101"/>
      <c r="S49" s="101"/>
      <c r="T49" s="101"/>
      <c r="U49" s="101"/>
      <c r="V49" s="101"/>
      <c r="W49" s="101"/>
    </row>
    <row r="50" spans="1:23" ht="12" customHeight="1" thickBot="1" x14ac:dyDescent="0.3">
      <c r="A50" s="147" t="s">
        <v>542</v>
      </c>
      <c r="B50" s="236" t="s">
        <v>390</v>
      </c>
      <c r="C50" s="240" t="str">
        <f>+IF(LEN('Anx I pg 1 oferta'!$C$56)&gt;0,"","min. "&amp;VLOOKUP(B49,'% admitidos'!A:M,11,FALSE)&amp;" - med.  "&amp;VLOOKUP(B49,'% admitidos'!A:M,12,FALSE)&amp;" - max.  "&amp;VLOOKUP(B49,'% admitidos'!A:M,13,FALSE))</f>
        <v>min. 0 - med.  0 - max.  0</v>
      </c>
      <c r="D50" s="61"/>
      <c r="E50" s="61"/>
      <c r="F50" s="67"/>
      <c r="G50" s="68"/>
      <c r="H50" s="123"/>
      <c r="J50" s="126"/>
      <c r="K50" s="126"/>
      <c r="L50" s="126"/>
      <c r="M50" s="279"/>
      <c r="N50" s="126"/>
    </row>
    <row r="51" spans="1:23" ht="21.95" customHeight="1" thickBot="1" x14ac:dyDescent="0.3">
      <c r="A51" s="147" t="str">
        <f>+'Anx I pg 1 oferta'!$B$18&amp;"T2_L08_inst_"&amp;B51</f>
        <v>T2_L08_inst_L08-12</v>
      </c>
      <c r="B51" s="176" t="s">
        <v>335</v>
      </c>
      <c r="C51" s="177" t="str">
        <f>+VLOOKUP(B51,'DATOS CENTROS'!B:F,4,FALSE)</f>
        <v>S.U. Vigo (Venezuela)</v>
      </c>
      <c r="D51" s="178"/>
      <c r="E51" s="179" t="str">
        <f>+VLOOKUP(B51,'DATOS CENTROS'!B:F,3,FALSE)</f>
        <v>C</v>
      </c>
      <c r="F51" s="180">
        <f>+VLOOKUP(B51,'DATOS CENTROS'!B:F,5,FALSE)</f>
        <v>2.7E-2</v>
      </c>
      <c r="G51" s="181" t="str">
        <f>+IF(OR($G$18=0,LEN($G$18)=0),"",+ROUND(((H51)/$G$18),6))</f>
        <v/>
      </c>
      <c r="H51" s="217"/>
      <c r="J51" s="183"/>
      <c r="K51" s="183"/>
      <c r="L51" s="183"/>
      <c r="M51" s="277" t="str">
        <f>+IFERROR(IF(N51&lt;&gt;TRUNC(N51,2),".+ de 2 decim.",IF(COUNTA($H$29:$H$64)&lt;13,13-COUNTA($H$29:$H$64)&amp;" Items ptes.ofertar ",IF(AND($G$18&gt;0,$H$39&gt;0,(N51)/(N51)=1),"ok","mal"))),"¿max.min.ofertado?")</f>
        <v>¿max.min.ofertado?</v>
      </c>
      <c r="N51" s="183" t="str">
        <f>+IF(OR($G$18=0,LEN($G$18)=0),"",IF(OR($G$18&lt;0,+$G$18/$G$18&lt;&gt;1),"Total oferta Lote incorrecto (no numérico o negativo)",IF(AND($G$18&gt;0,$H$39&gt;0,H51&lt;=0),"¿importe ofertado?",IF(AND($G$18&gt;0,$H$39&lt;0),"acum.of.oferta sede &gt;oferta lote",IF(AND($G$18&gt;0,$H$39&gt;0,H51&lt;VLOOKUP(B51,'% admitidos'!A:M,11,FALSE)),+"min."&amp;VLOOKUP(B51,'% admitidos'!A:M,11,FALSE),IF(AND($G$18&gt;0,$H$39&gt;0,H51&gt;VLOOKUP(B51,'% admitidos'!A:M,13,FALSE)),+"max."&amp;VLOOKUP(B51,'% admitidos'!A:M,13,FALSE),+H51))))))</f>
        <v/>
      </c>
    </row>
    <row r="52" spans="1:23" ht="12" customHeight="1" thickTop="1" thickBot="1" x14ac:dyDescent="0.3">
      <c r="A52" s="147" t="s">
        <v>542</v>
      </c>
      <c r="B52" s="237" t="s">
        <v>390</v>
      </c>
      <c r="C52" s="248" t="str">
        <f>+IF(LEN('Anx I pg 1 oferta'!$C$56)&gt;0,"","min. "&amp;VLOOKUP(B51,'% admitidos'!A:M,11,FALSE)&amp;" - med.  "&amp;VLOOKUP(B51,'% admitidos'!A:M,12,FALSE)&amp;" - max.  "&amp;VLOOKUP(B51,'% admitidos'!A:M,13,FALSE))</f>
        <v>min. 0 - med.  0 - max.  0</v>
      </c>
      <c r="D52" s="135"/>
      <c r="E52" s="135"/>
      <c r="F52" s="136"/>
      <c r="G52" s="137"/>
      <c r="H52" s="138"/>
      <c r="J52" s="126"/>
      <c r="K52" s="126"/>
      <c r="L52" s="126"/>
      <c r="M52" s="279"/>
      <c r="N52" s="126"/>
    </row>
    <row r="53" spans="1:23" ht="21.95" customHeight="1" thickBot="1" x14ac:dyDescent="0.3">
      <c r="A53" s="147" t="str">
        <f>+'Anx I pg 1 oferta'!$B$18&amp;"T2_L08_inst_"&amp;B53</f>
        <v>T2_L08_inst_L08-13</v>
      </c>
      <c r="B53" s="176" t="s">
        <v>337</v>
      </c>
      <c r="C53" s="177" t="str">
        <f>+VLOOKUP(B53,'DATOS CENTROS'!B:F,4,FALSE)</f>
        <v>U.I. RTVE Pontevedra</v>
      </c>
      <c r="D53" s="178"/>
      <c r="E53" s="179" t="str">
        <f>+VLOOKUP(B53,'DATOS CENTROS'!B:F,3,FALSE)</f>
        <v>C</v>
      </c>
      <c r="F53" s="180">
        <f>+VLOOKUP(B53,'DATOS CENTROS'!B:F,5,FALSE)</f>
        <v>2.3E-2</v>
      </c>
      <c r="G53" s="181" t="str">
        <f>+IF(OR($G$18=0,LEN($G$18)=0),"",+ROUND(((H53)/$G$18),6))</f>
        <v/>
      </c>
      <c r="H53" s="217"/>
      <c r="J53" s="183"/>
      <c r="K53" s="183"/>
      <c r="L53" s="183"/>
      <c r="M53" s="277" t="str">
        <f>+IFERROR(IF(N53&lt;&gt;TRUNC(N53,2),".+ de 2 decim.",IF(COUNTA($H$29:$H$64)&lt;13,13-COUNTA($H$29:$H$64)&amp;" Items ptes.ofertar ",IF(AND($G$18&gt;0,$H$39&gt;0,(N53)/(N53)=1),"ok","mal"))),"¿max.min.ofertado?")</f>
        <v>¿max.min.ofertado?</v>
      </c>
      <c r="N53" s="183" t="str">
        <f>+IF(OR($G$18=0,LEN($G$18)=0),"",IF(OR($G$18&lt;0,+$G$18/$G$18&lt;&gt;1),"Total oferta Lote incorrecto (no numérico o negativo)",IF(AND($G$18&gt;0,$H$39&gt;0,H53&lt;=0),"¿importe ofertado?",IF(AND($G$18&gt;0,$H$39&lt;0),"acum.of.oferta sede &gt;oferta lote",IF(AND($G$18&gt;0,$H$39&gt;0,H53&lt;VLOOKUP(B53,'% admitidos'!A:M,11,FALSE)),+"min."&amp;VLOOKUP(B53,'% admitidos'!A:M,11,FALSE),IF(AND($G$18&gt;0,$H$39&gt;0,H53&gt;VLOOKUP(B53,'% admitidos'!A:M,13,FALSE)),+"max."&amp;VLOOKUP(B53,'% admitidos'!A:M,13,FALSE),+H53))))))</f>
        <v/>
      </c>
    </row>
    <row r="54" spans="1:23" ht="12" customHeight="1" thickBot="1" x14ac:dyDescent="0.3">
      <c r="A54" s="147" t="s">
        <v>542</v>
      </c>
      <c r="B54" s="236" t="s">
        <v>390</v>
      </c>
      <c r="C54" s="240" t="str">
        <f>+IF(LEN('Anx I pg 1 oferta'!$C$56)&gt;0,"","min. "&amp;VLOOKUP(B53,'% admitidos'!A:M,11,FALSE)&amp;" - med.  "&amp;VLOOKUP(B53,'% admitidos'!A:M,12,FALSE)&amp;" - max.  "&amp;VLOOKUP(B53,'% admitidos'!A:M,13,FALSE))</f>
        <v>min. 0 - med.  0 - max.  0</v>
      </c>
      <c r="D54" s="61"/>
      <c r="E54" s="61"/>
      <c r="F54" s="67"/>
      <c r="G54" s="67"/>
      <c r="H54" s="123"/>
      <c r="J54" s="126"/>
      <c r="K54" s="126"/>
      <c r="L54" s="126"/>
      <c r="M54" s="87"/>
      <c r="N54" s="126"/>
    </row>
    <row r="55" spans="1:23" ht="30" hidden="1" customHeight="1" thickBot="1" x14ac:dyDescent="0.3">
      <c r="A55" s="147" t="s">
        <v>544</v>
      </c>
      <c r="B55" s="223" t="s">
        <v>390</v>
      </c>
      <c r="C55" s="187"/>
      <c r="D55" s="188"/>
      <c r="E55" s="189"/>
      <c r="F55" s="220"/>
      <c r="G55" s="190"/>
      <c r="H55" s="185"/>
      <c r="J55" s="183"/>
      <c r="K55" s="183"/>
      <c r="L55" s="183"/>
      <c r="M55" s="184"/>
      <c r="N55" s="183"/>
    </row>
    <row r="56" spans="1:23" ht="16.5" hidden="1" thickTop="1" thickBot="1" x14ac:dyDescent="0.3">
      <c r="A56" s="147" t="s">
        <v>544</v>
      </c>
      <c r="B56" s="152" t="s">
        <v>390</v>
      </c>
      <c r="C56" s="53"/>
      <c r="D56" s="54"/>
      <c r="E56" s="54"/>
      <c r="F56" s="69"/>
      <c r="G56" s="69"/>
      <c r="H56" s="71"/>
      <c r="J56" s="126"/>
      <c r="K56" s="126"/>
      <c r="L56" s="126"/>
      <c r="M56" s="87"/>
      <c r="N56" s="126"/>
    </row>
    <row r="57" spans="1:23" ht="30" hidden="1" customHeight="1" thickBot="1" x14ac:dyDescent="0.3">
      <c r="A57" s="147" t="s">
        <v>544</v>
      </c>
      <c r="B57" s="223" t="s">
        <v>390</v>
      </c>
      <c r="C57" s="187"/>
      <c r="D57" s="178"/>
      <c r="E57" s="179"/>
      <c r="F57" s="180"/>
      <c r="G57" s="181"/>
      <c r="H57" s="182"/>
      <c r="J57" s="183"/>
      <c r="K57" s="183"/>
      <c r="L57" s="183"/>
      <c r="M57" s="184"/>
      <c r="N57" s="183"/>
    </row>
    <row r="58" spans="1:23" ht="16.5" hidden="1" thickTop="1" thickBot="1" x14ac:dyDescent="0.3">
      <c r="A58" s="147" t="s">
        <v>544</v>
      </c>
      <c r="B58" s="152" t="s">
        <v>390</v>
      </c>
      <c r="C58" s="53"/>
      <c r="D58" s="135"/>
      <c r="E58" s="135"/>
      <c r="F58" s="135"/>
      <c r="G58" s="135"/>
      <c r="H58" s="144"/>
      <c r="J58" s="107"/>
      <c r="K58" s="107"/>
      <c r="L58" s="107"/>
      <c r="M58" s="56"/>
      <c r="N58" s="107"/>
    </row>
    <row r="59" spans="1:23" ht="30" hidden="1" customHeight="1" thickBot="1" x14ac:dyDescent="0.3">
      <c r="A59" s="147" t="s">
        <v>544</v>
      </c>
      <c r="B59" s="223" t="s">
        <v>390</v>
      </c>
      <c r="C59" s="187"/>
      <c r="D59" s="178"/>
      <c r="E59" s="179"/>
      <c r="F59" s="180"/>
      <c r="G59" s="181"/>
      <c r="H59" s="182"/>
      <c r="J59" s="183"/>
      <c r="K59" s="183"/>
      <c r="L59" s="183"/>
      <c r="M59" s="184"/>
      <c r="N59" s="183"/>
      <c r="Q59" s="101"/>
      <c r="R59" s="101"/>
      <c r="S59" s="101"/>
      <c r="T59" s="101"/>
      <c r="U59" s="101"/>
      <c r="V59" s="101"/>
      <c r="W59" s="101"/>
    </row>
    <row r="60" spans="1:23" ht="16.5" hidden="1" thickTop="1" thickBot="1" x14ac:dyDescent="0.3">
      <c r="A60" s="147" t="s">
        <v>544</v>
      </c>
      <c r="B60" s="152" t="s">
        <v>390</v>
      </c>
      <c r="C60" s="53"/>
      <c r="D60" s="61"/>
      <c r="E60" s="61"/>
      <c r="F60" s="67"/>
      <c r="G60" s="68"/>
      <c r="H60" s="123"/>
      <c r="J60" s="126"/>
      <c r="K60" s="126"/>
      <c r="L60" s="126"/>
      <c r="M60" s="87"/>
      <c r="N60" s="126"/>
    </row>
    <row r="61" spans="1:23" ht="30" hidden="1" customHeight="1" thickBot="1" x14ac:dyDescent="0.3">
      <c r="A61" s="147" t="s">
        <v>544</v>
      </c>
      <c r="B61" s="223" t="s">
        <v>390</v>
      </c>
      <c r="C61" s="187"/>
      <c r="D61" s="188"/>
      <c r="E61" s="189"/>
      <c r="F61" s="220"/>
      <c r="G61" s="190"/>
      <c r="H61" s="185"/>
      <c r="J61" s="183"/>
      <c r="K61" s="183"/>
      <c r="L61" s="183"/>
      <c r="M61" s="184"/>
      <c r="N61" s="183"/>
    </row>
    <row r="62" spans="1:23" ht="16.5" hidden="1" thickTop="1" thickBot="1" x14ac:dyDescent="0.3">
      <c r="A62" s="147" t="s">
        <v>544</v>
      </c>
      <c r="B62" s="152" t="s">
        <v>390</v>
      </c>
      <c r="C62" s="53"/>
      <c r="D62" s="54"/>
      <c r="E62" s="54"/>
      <c r="F62" s="69"/>
      <c r="G62" s="70"/>
      <c r="H62" s="124"/>
      <c r="J62" s="126"/>
      <c r="K62" s="126"/>
      <c r="L62" s="126"/>
      <c r="M62" s="87"/>
      <c r="N62" s="126"/>
    </row>
    <row r="63" spans="1:23" ht="30" hidden="1" customHeight="1" thickBot="1" x14ac:dyDescent="0.3">
      <c r="A63" s="147" t="s">
        <v>544</v>
      </c>
      <c r="B63" s="223" t="s">
        <v>390</v>
      </c>
      <c r="C63" s="187"/>
      <c r="D63" s="178"/>
      <c r="E63" s="179"/>
      <c r="F63" s="180"/>
      <c r="G63" s="181"/>
      <c r="H63" s="182"/>
      <c r="J63" s="183"/>
      <c r="K63" s="183"/>
      <c r="L63" s="183"/>
      <c r="M63" s="184"/>
      <c r="N63" s="183"/>
    </row>
    <row r="64" spans="1:23" ht="16.5" hidden="1" thickTop="1" thickBot="1" x14ac:dyDescent="0.3">
      <c r="A64" s="147" t="s">
        <v>544</v>
      </c>
      <c r="B64" s="152" t="s">
        <v>390</v>
      </c>
      <c r="C64" s="53"/>
      <c r="D64" s="61"/>
      <c r="E64" s="61"/>
      <c r="F64" s="67"/>
      <c r="G64" s="67"/>
      <c r="H64" s="123"/>
      <c r="J64" s="87"/>
      <c r="N64" s="126"/>
    </row>
    <row r="65" spans="1:16" x14ac:dyDescent="0.25">
      <c r="A65" s="147" t="str">
        <f>+'Anx I pg 1 oferta'!$B$18&amp;"T2_L08_TOT"</f>
        <v>T2_L08_TOT</v>
      </c>
      <c r="B65" s="122"/>
      <c r="C65" s="122"/>
      <c r="D65" s="122"/>
      <c r="E65" s="122"/>
      <c r="F65" s="285">
        <f>SUM(F29:F64)</f>
        <v>1.0000000000000002</v>
      </c>
      <c r="G65" s="286">
        <f>SUM(G29:G64)</f>
        <v>0</v>
      </c>
      <c r="H65" s="287">
        <f>SUM(H29:H64)</f>
        <v>0</v>
      </c>
      <c r="I65" s="15"/>
    </row>
    <row r="66" spans="1:16" x14ac:dyDescent="0.25">
      <c r="A66" s="147" t="s">
        <v>544</v>
      </c>
    </row>
    <row r="67" spans="1:16" x14ac:dyDescent="0.25">
      <c r="A67" s="147" t="s">
        <v>544</v>
      </c>
      <c r="M67" s="82"/>
      <c r="P67" s="82"/>
    </row>
    <row r="68" spans="1:16" x14ac:dyDescent="0.25">
      <c r="A68" s="147" t="s">
        <v>544</v>
      </c>
    </row>
    <row r="69" spans="1:16" ht="30" customHeight="1" x14ac:dyDescent="0.25">
      <c r="A69" s="147" t="s">
        <v>544</v>
      </c>
      <c r="B69" s="226" t="s">
        <v>530</v>
      </c>
    </row>
    <row r="70" spans="1:16" x14ac:dyDescent="0.25">
      <c r="A70" s="147" t="s">
        <v>544</v>
      </c>
    </row>
    <row r="71" spans="1:16" x14ac:dyDescent="0.25">
      <c r="A71" s="147" t="s">
        <v>544</v>
      </c>
      <c r="B71" s="2" t="s">
        <v>535</v>
      </c>
    </row>
    <row r="72" spans="1:16" ht="15.75" thickBot="1" x14ac:dyDescent="0.3">
      <c r="A72" s="147" t="s">
        <v>544</v>
      </c>
      <c r="B72" s="2" t="str">
        <f>+$B$11</f>
        <v>Lote  8 : Comunidad Autónoma de Galicia.</v>
      </c>
    </row>
    <row r="73" spans="1:16" ht="30" customHeight="1" thickBot="1" x14ac:dyDescent="0.3">
      <c r="A73" s="147" t="str">
        <f>+'Anx I pg 1 oferta'!$B$18&amp;"T3_L08_cab0a"</f>
        <v>T3_L08_cab0a</v>
      </c>
      <c r="B73" s="200" t="s">
        <v>59</v>
      </c>
      <c r="C73" s="200" t="s">
        <v>379</v>
      </c>
      <c r="D73" s="200" t="s">
        <v>60</v>
      </c>
      <c r="E73" s="200" t="s">
        <v>359</v>
      </c>
      <c r="F73" s="201" t="s">
        <v>378</v>
      </c>
      <c r="G73" s="105" t="s">
        <v>533</v>
      </c>
      <c r="H73" s="103" t="s">
        <v>360</v>
      </c>
      <c r="I73" s="103" t="s">
        <v>361</v>
      </c>
      <c r="J73" s="106" t="s">
        <v>380</v>
      </c>
      <c r="K73" s="274" t="s">
        <v>490</v>
      </c>
      <c r="L73" s="202"/>
    </row>
    <row r="74" spans="1:16" ht="15.75" thickBot="1" x14ac:dyDescent="0.3">
      <c r="A74" s="147" t="str">
        <f>+'Anx I pg 1 oferta'!$B$18&amp;"T3_L08_cab0b"</f>
        <v>T3_L08_cab0b</v>
      </c>
      <c r="B74" s="203" t="str">
        <f>+B27</f>
        <v>LOTE-08</v>
      </c>
      <c r="C74" s="204" t="str">
        <f>+C27</f>
        <v>(plazo de 2 meses)</v>
      </c>
      <c r="D74" s="205"/>
      <c r="E74" s="206"/>
      <c r="F74" s="207">
        <v>1</v>
      </c>
      <c r="G74" s="208"/>
      <c r="H74" s="205"/>
      <c r="I74" s="205"/>
      <c r="J74" s="205"/>
      <c r="K74" s="206"/>
      <c r="L74" s="202"/>
    </row>
    <row r="75" spans="1:16" ht="15.75" thickBot="1" x14ac:dyDescent="0.3">
      <c r="A75" s="147" t="str">
        <f>+'Anx I pg 1 oferta'!$B$18&amp;"T3_L08_cab1(CA)"</f>
        <v>T3_L08_cab1(CA)</v>
      </c>
      <c r="B75" s="209" t="s">
        <v>390</v>
      </c>
      <c r="C75" s="210" t="str">
        <f>+C28</f>
        <v>GALICIA</v>
      </c>
      <c r="D75" s="211"/>
      <c r="E75" s="211"/>
      <c r="F75" s="211"/>
      <c r="G75" s="211"/>
      <c r="H75" s="211"/>
      <c r="I75" s="211"/>
      <c r="J75" s="211"/>
      <c r="K75" s="212">
        <f>+G18</f>
        <v>0</v>
      </c>
      <c r="L75" s="202"/>
    </row>
    <row r="76" spans="1:16" ht="15.75" thickBot="1" x14ac:dyDescent="0.3">
      <c r="A76" s="147" t="str">
        <f>+'Anx I pg 1 oferta'!$B$18&amp;"T3_L08_inst_"&amp;B76&amp;"DA1"</f>
        <v>T3_L08_inst_L08-01DA1</v>
      </c>
      <c r="B76" s="348" t="s">
        <v>313</v>
      </c>
      <c r="C76" s="351" t="str">
        <f>+VLOOKUP(B76,'DATOS CENTROS'!B:E,2,FALSE)</f>
        <v>Pastoriza-Coruña</v>
      </c>
      <c r="D76" s="354" t="str">
        <f>+VLOOKUP(B76,'DATOS CENTROS'!B:E,3,FALSE)</f>
        <v xml:space="preserve"> A + C</v>
      </c>
      <c r="E76" s="357" t="str">
        <f>+VLOOKUP(B76,'DATOS CENTROS'!B:E,4,FALSE)</f>
        <v>C.E. OM PASTORIZA - CORUÑA</v>
      </c>
      <c r="F76" s="360">
        <f>+VLOOKUP(B76,'DATOS CENTROS'!B:F,5,FALSE)</f>
        <v>7.8E-2</v>
      </c>
      <c r="G76" s="342" t="str">
        <f>+IF(G29&gt;0,G29,"")</f>
        <v/>
      </c>
      <c r="H76" s="213" t="s">
        <v>25</v>
      </c>
      <c r="I76" s="214">
        <v>0.15</v>
      </c>
      <c r="J76" s="215" t="e">
        <f>+IF($K$76&gt;0,+ROUND($K$76*I76,0),"")</f>
        <v>#VALUE!</v>
      </c>
      <c r="K76" s="345" t="str">
        <f>+IFERROR(IF(OR($G$18=0,LEN($G$18)=0),"",IF(AND(M29="ok",(H29/H29)=1),N29,"")),"¿?")</f>
        <v/>
      </c>
      <c r="L76" s="202"/>
    </row>
    <row r="77" spans="1:16" ht="15.75" thickBot="1" x14ac:dyDescent="0.3">
      <c r="A77" s="147" t="str">
        <f>+'Anx I pg 1 oferta'!$B$18&amp;"T3_L08_inst_"&amp;B76&amp;"DA2"</f>
        <v>T3_L08_inst_L08-01DA2</v>
      </c>
      <c r="B77" s="349"/>
      <c r="C77" s="352"/>
      <c r="D77" s="355"/>
      <c r="E77" s="358"/>
      <c r="F77" s="361"/>
      <c r="G77" s="343"/>
      <c r="H77" s="213" t="s">
        <v>26</v>
      </c>
      <c r="I77" s="214">
        <v>0.1</v>
      </c>
      <c r="J77" s="215" t="e">
        <f t="shared" ref="J77:J79" si="0">+IF($K$76&gt;0,+ROUND($K$76*I77,0),"")</f>
        <v>#VALUE!</v>
      </c>
      <c r="K77" s="346"/>
      <c r="L77" s="202"/>
    </row>
    <row r="78" spans="1:16" ht="15.75" thickBot="1" x14ac:dyDescent="0.3">
      <c r="A78" s="147" t="str">
        <f>+'Anx I pg 1 oferta'!$B$18&amp;"T3_L08_inst_"&amp;B76&amp;"DA3"</f>
        <v>T3_L08_inst_L08-01DA3</v>
      </c>
      <c r="B78" s="349"/>
      <c r="C78" s="352"/>
      <c r="D78" s="355"/>
      <c r="E78" s="358"/>
      <c r="F78" s="361"/>
      <c r="G78" s="343"/>
      <c r="H78" s="213" t="s">
        <v>27</v>
      </c>
      <c r="I78" s="214">
        <v>0.2</v>
      </c>
      <c r="J78" s="215" t="e">
        <f t="shared" si="0"/>
        <v>#VALUE!</v>
      </c>
      <c r="K78" s="346"/>
      <c r="L78" s="202"/>
    </row>
    <row r="79" spans="1:16" ht="15.75" thickBot="1" x14ac:dyDescent="0.3">
      <c r="A79" s="147" t="str">
        <f>+'Anx I pg 1 oferta'!$B$18&amp;"T3_L08_inst_"&amp;B76&amp;"DA4"</f>
        <v>T3_L08_inst_L08-01DA4</v>
      </c>
      <c r="B79" s="349"/>
      <c r="C79" s="352"/>
      <c r="D79" s="355"/>
      <c r="E79" s="358"/>
      <c r="F79" s="361"/>
      <c r="G79" s="343"/>
      <c r="H79" s="213" t="s">
        <v>57</v>
      </c>
      <c r="I79" s="214">
        <v>0.05</v>
      </c>
      <c r="J79" s="215" t="e">
        <f t="shared" si="0"/>
        <v>#VALUE!</v>
      </c>
      <c r="K79" s="346"/>
      <c r="L79" s="202"/>
    </row>
    <row r="80" spans="1:16" ht="15.75" thickBot="1" x14ac:dyDescent="0.3">
      <c r="A80" s="147" t="str">
        <f>+'Anx I pg 1 oferta'!$B$18&amp;"T3_L08_inst_"&amp;B76&amp;"DA5"</f>
        <v>T3_L08_inst_L08-01DA5</v>
      </c>
      <c r="B80" s="350"/>
      <c r="C80" s="353"/>
      <c r="D80" s="356"/>
      <c r="E80" s="359"/>
      <c r="F80" s="362"/>
      <c r="G80" s="344"/>
      <c r="H80" s="213" t="s">
        <v>364</v>
      </c>
      <c r="I80" s="214">
        <v>0.5</v>
      </c>
      <c r="J80" s="215" t="e">
        <f>+IF($K$76&gt;0,+$K$76-SUM(J76:J79),"")</f>
        <v>#VALUE!</v>
      </c>
      <c r="K80" s="347"/>
      <c r="L80" s="202"/>
    </row>
    <row r="81" spans="1:12" ht="15.75" customHeight="1" thickBot="1" x14ac:dyDescent="0.3">
      <c r="A81" s="147" t="str">
        <f>+'Anx I pg 1 oferta'!$B$18&amp;"T3_L08_inst_"&amp;B81&amp;"DA1"</f>
        <v>T3_L08_inst_L08-02DA1</v>
      </c>
      <c r="B81" s="348" t="s">
        <v>315</v>
      </c>
      <c r="C81" s="351" t="str">
        <f>+VLOOKUP(B81,'DATOS CENTROS'!B:E,2,FALSE)</f>
        <v>Monte Xalo</v>
      </c>
      <c r="D81" s="354" t="str">
        <f>+VLOOKUP(B81,'DATOS CENTROS'!B:E,3,FALSE)</f>
        <v xml:space="preserve"> A + C</v>
      </c>
      <c r="E81" s="357" t="str">
        <f>+VLOOKUP(B81,'DATOS CENTROS'!B:E,4,FALSE)</f>
        <v>C.E. FM MONTE XALO</v>
      </c>
      <c r="F81" s="360">
        <f>+VLOOKUP(B81,'DATOS CENTROS'!B:F,5,FALSE)</f>
        <v>5.0999999999999997E-2</v>
      </c>
      <c r="G81" s="342" t="str">
        <f>+IF(G31&gt;0,G31,"")</f>
        <v/>
      </c>
      <c r="H81" s="213" t="s">
        <v>25</v>
      </c>
      <c r="I81" s="214">
        <v>0.15</v>
      </c>
      <c r="J81" s="215" t="e">
        <f>+IF($K$81&gt;0,+ROUND($K$81*I81,0),"")</f>
        <v>#VALUE!</v>
      </c>
      <c r="K81" s="345" t="str">
        <f>+IFERROR(IF(OR($G$18=0,LEN($G$18)=0),"",IF(AND(M31="ok",(H31/H31)=1),N31,"")),"¿?")</f>
        <v/>
      </c>
      <c r="L81" s="202"/>
    </row>
    <row r="82" spans="1:12" ht="15.75" thickBot="1" x14ac:dyDescent="0.3">
      <c r="A82" s="147" t="str">
        <f>+'Anx I pg 1 oferta'!$B$18&amp;"T3_L08_inst_"&amp;B81&amp;"DA2"</f>
        <v>T3_L08_inst_L08-02DA2</v>
      </c>
      <c r="B82" s="349"/>
      <c r="C82" s="352"/>
      <c r="D82" s="355"/>
      <c r="E82" s="358"/>
      <c r="F82" s="361"/>
      <c r="G82" s="343"/>
      <c r="H82" s="213" t="s">
        <v>26</v>
      </c>
      <c r="I82" s="214">
        <v>0.1</v>
      </c>
      <c r="J82" s="215" t="e">
        <f t="shared" ref="J82:J84" si="1">+IF($K$81&gt;0,+ROUND($K$81*I82,0),"")</f>
        <v>#VALUE!</v>
      </c>
      <c r="K82" s="346"/>
      <c r="L82" s="202"/>
    </row>
    <row r="83" spans="1:12" ht="15.75" thickBot="1" x14ac:dyDescent="0.3">
      <c r="A83" s="147" t="str">
        <f>+'Anx I pg 1 oferta'!$B$18&amp;"T3_L08_inst_"&amp;B81&amp;"DA3"</f>
        <v>T3_L08_inst_L08-02DA3</v>
      </c>
      <c r="B83" s="349"/>
      <c r="C83" s="352"/>
      <c r="D83" s="355"/>
      <c r="E83" s="358"/>
      <c r="F83" s="361"/>
      <c r="G83" s="343"/>
      <c r="H83" s="213" t="s">
        <v>27</v>
      </c>
      <c r="I83" s="214">
        <v>0.2</v>
      </c>
      <c r="J83" s="215" t="e">
        <f t="shared" si="1"/>
        <v>#VALUE!</v>
      </c>
      <c r="K83" s="346"/>
      <c r="L83" s="202"/>
    </row>
    <row r="84" spans="1:12" ht="15.75" thickBot="1" x14ac:dyDescent="0.3">
      <c r="A84" s="147" t="str">
        <f>+'Anx I pg 1 oferta'!$B$18&amp;"T3_L08_inst_"&amp;B81&amp;"DA4"</f>
        <v>T3_L08_inst_L08-02DA4</v>
      </c>
      <c r="B84" s="349"/>
      <c r="C84" s="352"/>
      <c r="D84" s="355"/>
      <c r="E84" s="358"/>
      <c r="F84" s="361"/>
      <c r="G84" s="343"/>
      <c r="H84" s="213" t="s">
        <v>57</v>
      </c>
      <c r="I84" s="214">
        <v>0.05</v>
      </c>
      <c r="J84" s="215" t="e">
        <f t="shared" si="1"/>
        <v>#VALUE!</v>
      </c>
      <c r="K84" s="346"/>
      <c r="L84" s="202"/>
    </row>
    <row r="85" spans="1:12" ht="15.75" thickBot="1" x14ac:dyDescent="0.3">
      <c r="A85" s="147" t="str">
        <f>+'Anx I pg 1 oferta'!$B$18&amp;"T3_L08_inst_"&amp;B81&amp;"DA5"</f>
        <v>T3_L08_inst_L08-02DA5</v>
      </c>
      <c r="B85" s="350"/>
      <c r="C85" s="353"/>
      <c r="D85" s="356"/>
      <c r="E85" s="359"/>
      <c r="F85" s="362"/>
      <c r="G85" s="344"/>
      <c r="H85" s="213" t="s">
        <v>364</v>
      </c>
      <c r="I85" s="214">
        <v>0.5</v>
      </c>
      <c r="J85" s="215" t="e">
        <f>+IF($K$81&gt;0,+$K$81-SUM(J81:J84),"")</f>
        <v>#VALUE!</v>
      </c>
      <c r="K85" s="347"/>
      <c r="L85" s="202"/>
    </row>
    <row r="86" spans="1:12" ht="15.75" thickBot="1" x14ac:dyDescent="0.3">
      <c r="A86" s="147" t="str">
        <f>+'Anx I pg 1 oferta'!$B$18&amp;"T3_L08_inst_"&amp;B86&amp;"DA1"</f>
        <v>T3_L08_inst_L08-03DA1</v>
      </c>
      <c r="B86" s="348" t="s">
        <v>317</v>
      </c>
      <c r="C86" s="351" t="str">
        <f>+VLOOKUP(B86,'DATOS CENTROS'!B:E,2,FALSE)</f>
        <v>Mesón del Viento</v>
      </c>
      <c r="D86" s="354" t="str">
        <f>+VLOOKUP(B86,'DATOS CENTROS'!B:E,3,FALSE)</f>
        <v xml:space="preserve"> A + C</v>
      </c>
      <c r="E86" s="357" t="str">
        <f>+VLOOKUP(B86,'DATOS CENTROS'!B:E,4,FALSE)</f>
        <v>C.E. OM MESÓN  DEL VIENTO</v>
      </c>
      <c r="F86" s="360">
        <f>+VLOOKUP(B86,'DATOS CENTROS'!B:F,5,FALSE)</f>
        <v>0.156</v>
      </c>
      <c r="G86" s="342" t="str">
        <f>+IF(G33&gt;0,G33,"")</f>
        <v/>
      </c>
      <c r="H86" s="213" t="s">
        <v>25</v>
      </c>
      <c r="I86" s="214">
        <v>0.15</v>
      </c>
      <c r="J86" s="215" t="e">
        <f>+IF($K$86&gt;0,+ROUND($K$86*I86,0),"")</f>
        <v>#VALUE!</v>
      </c>
      <c r="K86" s="345" t="str">
        <f>+IFERROR(IF(OR($G$18=0,LEN($G$18)=0),"",IF(AND(M33="ok",(H33/H33)=1),N33,"")),"¿?")</f>
        <v/>
      </c>
      <c r="L86" s="202"/>
    </row>
    <row r="87" spans="1:12" ht="15.75" thickBot="1" x14ac:dyDescent="0.3">
      <c r="A87" s="147" t="str">
        <f>+'Anx I pg 1 oferta'!$B$18&amp;"T3_L08_inst_"&amp;B86&amp;"DA2"</f>
        <v>T3_L08_inst_L08-03DA2</v>
      </c>
      <c r="B87" s="349"/>
      <c r="C87" s="352"/>
      <c r="D87" s="355"/>
      <c r="E87" s="358"/>
      <c r="F87" s="361"/>
      <c r="G87" s="343"/>
      <c r="H87" s="213" t="s">
        <v>26</v>
      </c>
      <c r="I87" s="214">
        <v>0.1</v>
      </c>
      <c r="J87" s="215" t="e">
        <f t="shared" ref="J87:J89" si="2">+IF($K$86&gt;0,+ROUND($K$86*I87,0),"")</f>
        <v>#VALUE!</v>
      </c>
      <c r="K87" s="346"/>
      <c r="L87" s="202"/>
    </row>
    <row r="88" spans="1:12" ht="15.75" thickBot="1" x14ac:dyDescent="0.3">
      <c r="A88" s="147" t="str">
        <f>+'Anx I pg 1 oferta'!$B$18&amp;"T3_L08_inst_"&amp;B86&amp;"DA3"</f>
        <v>T3_L08_inst_L08-03DA3</v>
      </c>
      <c r="B88" s="349"/>
      <c r="C88" s="352"/>
      <c r="D88" s="355"/>
      <c r="E88" s="358"/>
      <c r="F88" s="361"/>
      <c r="G88" s="343"/>
      <c r="H88" s="213" t="s">
        <v>27</v>
      </c>
      <c r="I88" s="214">
        <v>0.2</v>
      </c>
      <c r="J88" s="215" t="e">
        <f t="shared" si="2"/>
        <v>#VALUE!</v>
      </c>
      <c r="K88" s="346"/>
      <c r="L88" s="202"/>
    </row>
    <row r="89" spans="1:12" ht="15.75" thickBot="1" x14ac:dyDescent="0.3">
      <c r="A89" s="147" t="str">
        <f>+'Anx I pg 1 oferta'!$B$18&amp;"T3_L08_inst_"&amp;B86&amp;"DA4"</f>
        <v>T3_L08_inst_L08-03DA4</v>
      </c>
      <c r="B89" s="349"/>
      <c r="C89" s="352"/>
      <c r="D89" s="355"/>
      <c r="E89" s="358"/>
      <c r="F89" s="361"/>
      <c r="G89" s="343"/>
      <c r="H89" s="213" t="s">
        <v>57</v>
      </c>
      <c r="I89" s="214">
        <v>0.05</v>
      </c>
      <c r="J89" s="215" t="e">
        <f t="shared" si="2"/>
        <v>#VALUE!</v>
      </c>
      <c r="K89" s="346"/>
      <c r="L89" s="202"/>
    </row>
    <row r="90" spans="1:12" ht="15.75" thickBot="1" x14ac:dyDescent="0.3">
      <c r="A90" s="147" t="str">
        <f>+'Anx I pg 1 oferta'!$B$18&amp;"T3_L08_inst_"&amp;B86&amp;"DA5"</f>
        <v>T3_L08_inst_L08-03DA5</v>
      </c>
      <c r="B90" s="350"/>
      <c r="C90" s="353"/>
      <c r="D90" s="356"/>
      <c r="E90" s="359"/>
      <c r="F90" s="362"/>
      <c r="G90" s="344"/>
      <c r="H90" s="213" t="s">
        <v>364</v>
      </c>
      <c r="I90" s="214">
        <v>0.5</v>
      </c>
      <c r="J90" s="215" t="e">
        <f>+IF($K$86&gt;0,+$K$86-SUM(J86:J89),"")</f>
        <v>#VALUE!</v>
      </c>
      <c r="K90" s="347"/>
      <c r="L90" s="202"/>
    </row>
    <row r="91" spans="1:12" ht="15.75" thickBot="1" x14ac:dyDescent="0.3">
      <c r="A91" s="147" t="str">
        <f>+'Anx I pg 1 oferta'!$B$18&amp;"T3_L08_inst_"&amp;B91&amp;"DA1"</f>
        <v>T3_L08_inst_L08-04DA1</v>
      </c>
      <c r="B91" s="348" t="s">
        <v>319</v>
      </c>
      <c r="C91" s="351" t="str">
        <f>+VLOOKUP(B91,'DATOS CENTROS'!B:E,2,FALSE)</f>
        <v>Arieiras-Fontao</v>
      </c>
      <c r="D91" s="354" t="str">
        <f>+VLOOKUP(B91,'DATOS CENTROS'!B:E,3,FALSE)</f>
        <v xml:space="preserve"> A + C</v>
      </c>
      <c r="E91" s="357" t="str">
        <f>+VLOOKUP(B91,'DATOS CENTROS'!B:E,4,FALSE)</f>
        <v>C.E. OM ARIEIRAS</v>
      </c>
      <c r="F91" s="360">
        <f>+VLOOKUP(B91,'DATOS CENTROS'!B:F,5,FALSE)</f>
        <v>7.8E-2</v>
      </c>
      <c r="G91" s="342" t="str">
        <f>+IF(G35&gt;0,G35,"")</f>
        <v/>
      </c>
      <c r="H91" s="213" t="s">
        <v>25</v>
      </c>
      <c r="I91" s="214">
        <v>0.15</v>
      </c>
      <c r="J91" s="215" t="e">
        <f>+IF($K$91&gt;0,+ROUND($K$91*I91,0),"")</f>
        <v>#VALUE!</v>
      </c>
      <c r="K91" s="345" t="str">
        <f>+IFERROR(IF(OR($G$18=0,LEN($G$18)=0),"",IF(AND(M35="ok",(H35/H35)=1),N35,"")),"¿?")</f>
        <v/>
      </c>
      <c r="L91" s="202"/>
    </row>
    <row r="92" spans="1:12" ht="15.75" thickBot="1" x14ac:dyDescent="0.3">
      <c r="A92" s="147" t="str">
        <f>+'Anx I pg 1 oferta'!$B$18&amp;"T3_L08_inst_"&amp;B91&amp;"DA2"</f>
        <v>T3_L08_inst_L08-04DA2</v>
      </c>
      <c r="B92" s="349"/>
      <c r="C92" s="352"/>
      <c r="D92" s="355"/>
      <c r="E92" s="358"/>
      <c r="F92" s="361"/>
      <c r="G92" s="343"/>
      <c r="H92" s="213" t="s">
        <v>26</v>
      </c>
      <c r="I92" s="214">
        <v>0.1</v>
      </c>
      <c r="J92" s="215" t="e">
        <f t="shared" ref="J92:J94" si="3">+IF($K$91&gt;0,+ROUND($K$91*I92,0),"")</f>
        <v>#VALUE!</v>
      </c>
      <c r="K92" s="346"/>
      <c r="L92" s="202"/>
    </row>
    <row r="93" spans="1:12" ht="15.75" thickBot="1" x14ac:dyDescent="0.3">
      <c r="A93" s="147" t="str">
        <f>+'Anx I pg 1 oferta'!$B$18&amp;"T3_L08_inst_"&amp;B91&amp;"DA3"</f>
        <v>T3_L08_inst_L08-04DA3</v>
      </c>
      <c r="B93" s="349"/>
      <c r="C93" s="352"/>
      <c r="D93" s="355"/>
      <c r="E93" s="358"/>
      <c r="F93" s="361"/>
      <c r="G93" s="343"/>
      <c r="H93" s="213" t="s">
        <v>27</v>
      </c>
      <c r="I93" s="214">
        <v>0.2</v>
      </c>
      <c r="J93" s="215" t="e">
        <f t="shared" si="3"/>
        <v>#VALUE!</v>
      </c>
      <c r="K93" s="346"/>
      <c r="L93" s="202"/>
    </row>
    <row r="94" spans="1:12" ht="15.75" thickBot="1" x14ac:dyDescent="0.3">
      <c r="A94" s="147" t="str">
        <f>+'Anx I pg 1 oferta'!$B$18&amp;"T3_L08_inst_"&amp;B91&amp;"DA4"</f>
        <v>T3_L08_inst_L08-04DA4</v>
      </c>
      <c r="B94" s="349"/>
      <c r="C94" s="352"/>
      <c r="D94" s="355"/>
      <c r="E94" s="358"/>
      <c r="F94" s="361"/>
      <c r="G94" s="343"/>
      <c r="H94" s="213" t="s">
        <v>57</v>
      </c>
      <c r="I94" s="214">
        <v>0.05</v>
      </c>
      <c r="J94" s="215" t="e">
        <f t="shared" si="3"/>
        <v>#VALUE!</v>
      </c>
      <c r="K94" s="346"/>
      <c r="L94" s="202"/>
    </row>
    <row r="95" spans="1:12" ht="15.75" thickBot="1" x14ac:dyDescent="0.3">
      <c r="A95" s="147" t="str">
        <f>+'Anx I pg 1 oferta'!$B$18&amp;"T3_L08_inst_"&amp;B91&amp;"DA5"</f>
        <v>T3_L08_inst_L08-04DA5</v>
      </c>
      <c r="B95" s="350"/>
      <c r="C95" s="353"/>
      <c r="D95" s="356"/>
      <c r="E95" s="359"/>
      <c r="F95" s="362"/>
      <c r="G95" s="344"/>
      <c r="H95" s="213" t="s">
        <v>364</v>
      </c>
      <c r="I95" s="214">
        <v>0.5</v>
      </c>
      <c r="J95" s="215" t="e">
        <f>+IF($K$91&gt;0,+$K$91-SUM(J91:J94),"")</f>
        <v>#VALUE!</v>
      </c>
      <c r="K95" s="347"/>
      <c r="L95" s="202"/>
    </row>
    <row r="96" spans="1:12" ht="15.75" thickBot="1" x14ac:dyDescent="0.3">
      <c r="A96" s="147" t="str">
        <f>+'Anx I pg 1 oferta'!$B$18&amp;"T3_L08_inst_"&amp;B96&amp;"DA1"</f>
        <v>T3_L08_inst_L08-05DA1</v>
      </c>
      <c r="B96" s="348" t="s">
        <v>321</v>
      </c>
      <c r="C96" s="351" t="str">
        <f>+VLOOKUP(B96,'DATOS CENTROS'!B:E,2,FALSE)</f>
        <v>Pereiro</v>
      </c>
      <c r="D96" s="354" t="str">
        <f>+VLOOKUP(B96,'DATOS CENTROS'!B:E,3,FALSE)</f>
        <v xml:space="preserve"> A + C</v>
      </c>
      <c r="E96" s="357" t="str">
        <f>+VLOOKUP(B96,'DATOS CENTROS'!B:E,4,FALSE)</f>
        <v>C.E. OM PEREIRO</v>
      </c>
      <c r="F96" s="360">
        <f>+VLOOKUP(B96,'DATOS CENTROS'!B:F,5,FALSE)</f>
        <v>0.125</v>
      </c>
      <c r="G96" s="342" t="str">
        <f>+IF(G37&gt;0,G37,"")</f>
        <v/>
      </c>
      <c r="H96" s="213" t="s">
        <v>25</v>
      </c>
      <c r="I96" s="214">
        <v>0.15</v>
      </c>
      <c r="J96" s="215" t="e">
        <f>+IF($K$96&gt;0,+ROUND($K$96*I96,0),"")</f>
        <v>#VALUE!</v>
      </c>
      <c r="K96" s="345" t="str">
        <f>+IFERROR(IF(OR($G$18=0,LEN($G$18)=0),"",IF(AND(M37="ok",(H37/H37)=1),N37,"")),"¿?")</f>
        <v/>
      </c>
      <c r="L96" s="202"/>
    </row>
    <row r="97" spans="1:12" ht="15.75" thickBot="1" x14ac:dyDescent="0.3">
      <c r="A97" s="147" t="str">
        <f>+'Anx I pg 1 oferta'!$B$18&amp;"T3_L08_inst_"&amp;B96&amp;"DA2"</f>
        <v>T3_L08_inst_L08-05DA2</v>
      </c>
      <c r="B97" s="349"/>
      <c r="C97" s="352"/>
      <c r="D97" s="355"/>
      <c r="E97" s="358"/>
      <c r="F97" s="361"/>
      <c r="G97" s="343"/>
      <c r="H97" s="213" t="s">
        <v>26</v>
      </c>
      <c r="I97" s="214">
        <v>0.1</v>
      </c>
      <c r="J97" s="215" t="e">
        <f t="shared" ref="J97:J99" si="4">+IF($K$96&gt;0,+ROUND($K$96*I97,0),"")</f>
        <v>#VALUE!</v>
      </c>
      <c r="K97" s="346"/>
      <c r="L97" s="202"/>
    </row>
    <row r="98" spans="1:12" ht="15.75" thickBot="1" x14ac:dyDescent="0.3">
      <c r="A98" s="147" t="str">
        <f>+'Anx I pg 1 oferta'!$B$18&amp;"T3_L08_inst_"&amp;B96&amp;"DA3"</f>
        <v>T3_L08_inst_L08-05DA3</v>
      </c>
      <c r="B98" s="349"/>
      <c r="C98" s="352"/>
      <c r="D98" s="355"/>
      <c r="E98" s="358"/>
      <c r="F98" s="361"/>
      <c r="G98" s="343"/>
      <c r="H98" s="213" t="s">
        <v>27</v>
      </c>
      <c r="I98" s="214">
        <v>0.2</v>
      </c>
      <c r="J98" s="215" t="e">
        <f t="shared" si="4"/>
        <v>#VALUE!</v>
      </c>
      <c r="K98" s="346"/>
      <c r="L98" s="202"/>
    </row>
    <row r="99" spans="1:12" ht="15.75" thickBot="1" x14ac:dyDescent="0.3">
      <c r="A99" s="147" t="str">
        <f>+'Anx I pg 1 oferta'!$B$18&amp;"T3_L08_inst_"&amp;B96&amp;"DA4"</f>
        <v>T3_L08_inst_L08-05DA4</v>
      </c>
      <c r="B99" s="349"/>
      <c r="C99" s="352"/>
      <c r="D99" s="355"/>
      <c r="E99" s="358"/>
      <c r="F99" s="361"/>
      <c r="G99" s="343"/>
      <c r="H99" s="213" t="s">
        <v>57</v>
      </c>
      <c r="I99" s="214">
        <v>0.05</v>
      </c>
      <c r="J99" s="215" t="e">
        <f t="shared" si="4"/>
        <v>#VALUE!</v>
      </c>
      <c r="K99" s="346"/>
      <c r="L99" s="202"/>
    </row>
    <row r="100" spans="1:12" ht="15.75" thickBot="1" x14ac:dyDescent="0.3">
      <c r="A100" s="147" t="str">
        <f>+'Anx I pg 1 oferta'!$B$18&amp;"T3_L08_inst_"&amp;B96&amp;"DA5"</f>
        <v>T3_L08_inst_L08-05DA5</v>
      </c>
      <c r="B100" s="350"/>
      <c r="C100" s="353"/>
      <c r="D100" s="356"/>
      <c r="E100" s="359"/>
      <c r="F100" s="362"/>
      <c r="G100" s="344"/>
      <c r="H100" s="213" t="s">
        <v>364</v>
      </c>
      <c r="I100" s="214">
        <v>0.5</v>
      </c>
      <c r="J100" s="215" t="e">
        <f>+IF($K$96&gt;0,+$K$96-SUM(J96:J99),"")</f>
        <v>#VALUE!</v>
      </c>
      <c r="K100" s="347"/>
      <c r="L100" s="202"/>
    </row>
    <row r="101" spans="1:12" ht="15.75" thickBot="1" x14ac:dyDescent="0.3">
      <c r="A101" s="147" t="str">
        <f>+'Anx I pg 1 oferta'!$B$18&amp;"T3_L08_inst_"&amp;B101&amp;"DA1"</f>
        <v>T3_L08_inst_L08-06DA1</v>
      </c>
      <c r="B101" s="348" t="s">
        <v>323</v>
      </c>
      <c r="C101" s="351" t="str">
        <f>+VLOOKUP(B101,'DATOS CENTROS'!B:E,2,FALSE)</f>
        <v>Pastoriza-Marín</v>
      </c>
      <c r="D101" s="354" t="str">
        <f>+VLOOKUP(B101,'DATOS CENTROS'!B:E,3,FALSE)</f>
        <v xml:space="preserve"> A + C</v>
      </c>
      <c r="E101" s="357" t="str">
        <f>+VLOOKUP(B101,'DATOS CENTROS'!B:E,4,FALSE)</f>
        <v>C.E. OM PASTORIZA - MARIN</v>
      </c>
      <c r="F101" s="360">
        <f>+VLOOKUP(B101,'DATOS CENTROS'!B:F,5,FALSE)</f>
        <v>0.17899999999999999</v>
      </c>
      <c r="G101" s="342" t="str">
        <f>+IF(G39&gt;0,G39,"")</f>
        <v/>
      </c>
      <c r="H101" s="213" t="s">
        <v>25</v>
      </c>
      <c r="I101" s="214">
        <v>0.15</v>
      </c>
      <c r="J101" s="215" t="e">
        <f>+IF($K$101&gt;0,+ROUND($K$101*I101,0),"")</f>
        <v>#VALUE!</v>
      </c>
      <c r="K101" s="345" t="str">
        <f>+IFERROR(IF(OR($G$18=0,LEN($G$18)=0),"",IF(AND(M39="ok",(H39/H39)=1),N39,"")),"¿?")</f>
        <v/>
      </c>
      <c r="L101" s="202"/>
    </row>
    <row r="102" spans="1:12" ht="15.75" thickBot="1" x14ac:dyDescent="0.3">
      <c r="A102" s="147" t="str">
        <f>+'Anx I pg 1 oferta'!$B$18&amp;"T3_L08_inst_"&amp;B101&amp;"DA2"</f>
        <v>T3_L08_inst_L08-06DA2</v>
      </c>
      <c r="B102" s="349"/>
      <c r="C102" s="352"/>
      <c r="D102" s="355"/>
      <c r="E102" s="358"/>
      <c r="F102" s="361"/>
      <c r="G102" s="343"/>
      <c r="H102" s="213" t="s">
        <v>26</v>
      </c>
      <c r="I102" s="214">
        <v>0.1</v>
      </c>
      <c r="J102" s="215" t="e">
        <f t="shared" ref="J102:J104" si="5">+IF($K$101&gt;0,+ROUND($K$101*I102,0),"")</f>
        <v>#VALUE!</v>
      </c>
      <c r="K102" s="346"/>
      <c r="L102" s="202"/>
    </row>
    <row r="103" spans="1:12" ht="15.75" thickBot="1" x14ac:dyDescent="0.3">
      <c r="A103" s="147" t="str">
        <f>+'Anx I pg 1 oferta'!$B$18&amp;"T3_L08_inst_"&amp;B101&amp;"DA3"</f>
        <v>T3_L08_inst_L08-06DA3</v>
      </c>
      <c r="B103" s="349"/>
      <c r="C103" s="352"/>
      <c r="D103" s="355"/>
      <c r="E103" s="358"/>
      <c r="F103" s="361"/>
      <c r="G103" s="343"/>
      <c r="H103" s="213" t="s">
        <v>27</v>
      </c>
      <c r="I103" s="214">
        <v>0.2</v>
      </c>
      <c r="J103" s="215" t="e">
        <f t="shared" si="5"/>
        <v>#VALUE!</v>
      </c>
      <c r="K103" s="346"/>
      <c r="L103" s="202"/>
    </row>
    <row r="104" spans="1:12" ht="15.75" thickBot="1" x14ac:dyDescent="0.3">
      <c r="A104" s="147" t="str">
        <f>+'Anx I pg 1 oferta'!$B$18&amp;"T3_L08_inst_"&amp;B101&amp;"DA4"</f>
        <v>T3_L08_inst_L08-06DA4</v>
      </c>
      <c r="B104" s="349"/>
      <c r="C104" s="352"/>
      <c r="D104" s="355"/>
      <c r="E104" s="358"/>
      <c r="F104" s="361"/>
      <c r="G104" s="343"/>
      <c r="H104" s="213" t="s">
        <v>57</v>
      </c>
      <c r="I104" s="214">
        <v>0.05</v>
      </c>
      <c r="J104" s="215" t="e">
        <f t="shared" si="5"/>
        <v>#VALUE!</v>
      </c>
      <c r="K104" s="346"/>
      <c r="L104" s="202"/>
    </row>
    <row r="105" spans="1:12" ht="15.75" thickBot="1" x14ac:dyDescent="0.3">
      <c r="A105" s="147" t="str">
        <f>+'Anx I pg 1 oferta'!$B$18&amp;"T3_L08_inst_"&amp;B101&amp;"DA5"</f>
        <v>T3_L08_inst_L08-06DA5</v>
      </c>
      <c r="B105" s="350"/>
      <c r="C105" s="353"/>
      <c r="D105" s="356"/>
      <c r="E105" s="359"/>
      <c r="F105" s="362"/>
      <c r="G105" s="344"/>
      <c r="H105" s="213" t="s">
        <v>364</v>
      </c>
      <c r="I105" s="214">
        <v>0.5</v>
      </c>
      <c r="J105" s="215" t="e">
        <f>+IF($K$101&gt;0,+$K$101-SUM(J101:J104),"")</f>
        <v>#VALUE!</v>
      </c>
      <c r="K105" s="347"/>
      <c r="L105" s="202"/>
    </row>
    <row r="106" spans="1:12" ht="15.75" customHeight="1" thickBot="1" x14ac:dyDescent="0.3">
      <c r="A106" s="147" t="str">
        <f>+'Anx I pg 1 oferta'!$B$18&amp;"T3_L08_inst_"&amp;B106&amp;"DA1"</f>
        <v>T3_L08_inst_L08-07DA1</v>
      </c>
      <c r="B106" s="348" t="s">
        <v>325</v>
      </c>
      <c r="C106" s="351" t="str">
        <f>+VLOOKUP(B106,'DATOS CENTROS'!B:E,2,FALSE)</f>
        <v>San Marcos Bando</v>
      </c>
      <c r="D106" s="354" t="str">
        <f>+VLOOKUP(B106,'DATOS CENTROS'!B:E,3,FALSE)</f>
        <v xml:space="preserve"> A + C</v>
      </c>
      <c r="E106" s="357" t="str">
        <f>+VLOOKUP(B106,'DATOS CENTROS'!B:E,4,FALSE)</f>
        <v>C.T. RTVE Santiago</v>
      </c>
      <c r="F106" s="360">
        <f>+VLOOKUP(B106,'DATOS CENTROS'!B:F,5,FALSE)</f>
        <v>0.17499999999999999</v>
      </c>
      <c r="G106" s="342" t="str">
        <f>+IF(G41&gt;0,G41,"")</f>
        <v/>
      </c>
      <c r="H106" s="213" t="s">
        <v>25</v>
      </c>
      <c r="I106" s="214">
        <v>0.15</v>
      </c>
      <c r="J106" s="215" t="e">
        <f>+IF($K$106&gt;0,+ROUND($K$106*I106,0),"")</f>
        <v>#VALUE!</v>
      </c>
      <c r="K106" s="345" t="str">
        <f>+IFERROR(IF(OR($G$18=0,LEN($G$18)=0),"",IF(AND(M41="ok",(H41/H41)=1),N41,"")),"¿?")</f>
        <v/>
      </c>
      <c r="L106" s="202"/>
    </row>
    <row r="107" spans="1:12" ht="15.75" thickBot="1" x14ac:dyDescent="0.3">
      <c r="A107" s="147" t="str">
        <f>+'Anx I pg 1 oferta'!$B$18&amp;"T3_L08_inst_"&amp;B106&amp;"DA2"</f>
        <v>T3_L08_inst_L08-07DA2</v>
      </c>
      <c r="B107" s="349"/>
      <c r="C107" s="352"/>
      <c r="D107" s="355"/>
      <c r="E107" s="358"/>
      <c r="F107" s="361"/>
      <c r="G107" s="343"/>
      <c r="H107" s="213" t="s">
        <v>26</v>
      </c>
      <c r="I107" s="214">
        <v>0.1</v>
      </c>
      <c r="J107" s="215" t="e">
        <f t="shared" ref="J107:J109" si="6">+IF($K$106&gt;0,+ROUND($K$106*I107,0),"")</f>
        <v>#VALUE!</v>
      </c>
      <c r="K107" s="346"/>
      <c r="L107" s="202"/>
    </row>
    <row r="108" spans="1:12" ht="15.75" thickBot="1" x14ac:dyDescent="0.3">
      <c r="A108" s="147" t="str">
        <f>+'Anx I pg 1 oferta'!$B$18&amp;"T3_L08_inst_"&amp;B106&amp;"DA3"</f>
        <v>T3_L08_inst_L08-07DA3</v>
      </c>
      <c r="B108" s="349"/>
      <c r="C108" s="352"/>
      <c r="D108" s="355"/>
      <c r="E108" s="358"/>
      <c r="F108" s="361"/>
      <c r="G108" s="343"/>
      <c r="H108" s="213" t="s">
        <v>27</v>
      </c>
      <c r="I108" s="214">
        <v>0.2</v>
      </c>
      <c r="J108" s="215" t="e">
        <f t="shared" si="6"/>
        <v>#VALUE!</v>
      </c>
      <c r="K108" s="346"/>
      <c r="L108" s="202"/>
    </row>
    <row r="109" spans="1:12" ht="15.75" thickBot="1" x14ac:dyDescent="0.3">
      <c r="A109" s="147" t="str">
        <f>+'Anx I pg 1 oferta'!$B$18&amp;"T3_L08_inst_"&amp;B106&amp;"DA4"</f>
        <v>T3_L08_inst_L08-07DA4</v>
      </c>
      <c r="B109" s="349"/>
      <c r="C109" s="352"/>
      <c r="D109" s="355"/>
      <c r="E109" s="358"/>
      <c r="F109" s="361"/>
      <c r="G109" s="343"/>
      <c r="H109" s="213" t="s">
        <v>57</v>
      </c>
      <c r="I109" s="214">
        <v>0.05</v>
      </c>
      <c r="J109" s="215" t="e">
        <f t="shared" si="6"/>
        <v>#VALUE!</v>
      </c>
      <c r="K109" s="346"/>
      <c r="L109" s="202"/>
    </row>
    <row r="110" spans="1:12" ht="15.75" thickBot="1" x14ac:dyDescent="0.3">
      <c r="A110" s="147" t="str">
        <f>+'Anx I pg 1 oferta'!$B$18&amp;"T3_L08_inst_"&amp;B106&amp;"DA5"</f>
        <v>T3_L08_inst_L08-07DA5</v>
      </c>
      <c r="B110" s="350"/>
      <c r="C110" s="353"/>
      <c r="D110" s="356"/>
      <c r="E110" s="359"/>
      <c r="F110" s="362"/>
      <c r="G110" s="344"/>
      <c r="H110" s="213" t="s">
        <v>364</v>
      </c>
      <c r="I110" s="214">
        <v>0.5</v>
      </c>
      <c r="J110" s="215" t="e">
        <f>+IF($K$106&gt;0,+$K$106-SUM(J106:J109),"")</f>
        <v>#VALUE!</v>
      </c>
      <c r="K110" s="347"/>
      <c r="L110" s="202"/>
    </row>
    <row r="111" spans="1:12" ht="15.75" thickBot="1" x14ac:dyDescent="0.3">
      <c r="A111" s="147" t="str">
        <f>+'Anx I pg 1 oferta'!$B$18&amp;"T3_L08_inst_"&amp;B111&amp;"DA1"</f>
        <v>T3_L08_inst_L08-08DA1</v>
      </c>
      <c r="B111" s="348" t="s">
        <v>327</v>
      </c>
      <c r="C111" s="351" t="str">
        <f>+VLOOKUP(B111,'DATOS CENTROS'!B:E,2,FALSE)</f>
        <v>Calle  Jardines Méndez Núñez s/n Edificio La Terraza  15003</v>
      </c>
      <c r="D111" s="354" t="str">
        <f>+VLOOKUP(B111,'DATOS CENTROS'!B:E,3,FALSE)</f>
        <v>C</v>
      </c>
      <c r="E111" s="357" t="str">
        <f>+VLOOKUP(B111,'DATOS CENTROS'!B:E,4,FALSE)</f>
        <v>C.T. RNE Galicia</v>
      </c>
      <c r="F111" s="360">
        <f>+VLOOKUP(B111,'DATOS CENTROS'!B:F,5,FALSE)</f>
        <v>2.7E-2</v>
      </c>
      <c r="G111" s="342" t="str">
        <f>+IF(G43&gt;0,G43,"")</f>
        <v/>
      </c>
      <c r="H111" s="213" t="s">
        <v>25</v>
      </c>
      <c r="I111" s="214">
        <v>0.15</v>
      </c>
      <c r="J111" s="215" t="e">
        <f>+IF($K$111&gt;0,+ROUND($K$111*I111,0),"")</f>
        <v>#VALUE!</v>
      </c>
      <c r="K111" s="345" t="str">
        <f>+IFERROR(IF(OR($G$18=0,LEN($G$18)=0),"",IF(AND(M43="ok",(H43/H43)=1),N43,"")),"¿?")</f>
        <v/>
      </c>
      <c r="L111" s="202"/>
    </row>
    <row r="112" spans="1:12" ht="15.75" thickBot="1" x14ac:dyDescent="0.3">
      <c r="A112" s="147" t="str">
        <f>+'Anx I pg 1 oferta'!$B$18&amp;"T3_L08_inst_"&amp;B111&amp;"DA2"</f>
        <v>T3_L08_inst_L08-08DA2</v>
      </c>
      <c r="B112" s="349"/>
      <c r="C112" s="352"/>
      <c r="D112" s="355"/>
      <c r="E112" s="358"/>
      <c r="F112" s="361"/>
      <c r="G112" s="343"/>
      <c r="H112" s="213" t="s">
        <v>26</v>
      </c>
      <c r="I112" s="214">
        <v>0.1</v>
      </c>
      <c r="J112" s="215" t="e">
        <f t="shared" ref="J112:J114" si="7">+IF($K$111&gt;0,+ROUND($K$111*I112,0),"")</f>
        <v>#VALUE!</v>
      </c>
      <c r="K112" s="346"/>
      <c r="L112" s="202"/>
    </row>
    <row r="113" spans="1:12" ht="15.75" thickBot="1" x14ac:dyDescent="0.3">
      <c r="A113" s="147" t="str">
        <f>+'Anx I pg 1 oferta'!$B$18&amp;"T3_L08_inst_"&amp;B111&amp;"DA3"</f>
        <v>T3_L08_inst_L08-08DA3</v>
      </c>
      <c r="B113" s="349"/>
      <c r="C113" s="352"/>
      <c r="D113" s="355"/>
      <c r="E113" s="358"/>
      <c r="F113" s="361"/>
      <c r="G113" s="343"/>
      <c r="H113" s="213" t="s">
        <v>27</v>
      </c>
      <c r="I113" s="214">
        <v>0.2</v>
      </c>
      <c r="J113" s="215" t="e">
        <f t="shared" si="7"/>
        <v>#VALUE!</v>
      </c>
      <c r="K113" s="346"/>
      <c r="L113" s="202"/>
    </row>
    <row r="114" spans="1:12" ht="15.75" thickBot="1" x14ac:dyDescent="0.3">
      <c r="A114" s="147" t="str">
        <f>+'Anx I pg 1 oferta'!$B$18&amp;"T3_L08_inst_"&amp;B111&amp;"DA4"</f>
        <v>T3_L08_inst_L08-08DA4</v>
      </c>
      <c r="B114" s="349"/>
      <c r="C114" s="352"/>
      <c r="D114" s="355"/>
      <c r="E114" s="358"/>
      <c r="F114" s="361"/>
      <c r="G114" s="343"/>
      <c r="H114" s="213" t="s">
        <v>57</v>
      </c>
      <c r="I114" s="214">
        <v>0.05</v>
      </c>
      <c r="J114" s="215" t="e">
        <f t="shared" si="7"/>
        <v>#VALUE!</v>
      </c>
      <c r="K114" s="346"/>
      <c r="L114" s="202"/>
    </row>
    <row r="115" spans="1:12" ht="15.75" thickBot="1" x14ac:dyDescent="0.3">
      <c r="A115" s="147" t="str">
        <f>+'Anx I pg 1 oferta'!$B$18&amp;"T3_L08_inst_"&amp;B111&amp;"DA5"</f>
        <v>T3_L08_inst_L08-08DA5</v>
      </c>
      <c r="B115" s="350"/>
      <c r="C115" s="353"/>
      <c r="D115" s="356"/>
      <c r="E115" s="359"/>
      <c r="F115" s="362"/>
      <c r="G115" s="344"/>
      <c r="H115" s="213" t="s">
        <v>364</v>
      </c>
      <c r="I115" s="214">
        <v>0.5</v>
      </c>
      <c r="J115" s="215" t="e">
        <f>+IF($K$111&gt;0,+$K$111-SUM(J111:J114),"")</f>
        <v>#VALUE!</v>
      </c>
      <c r="K115" s="347"/>
      <c r="L115" s="202"/>
    </row>
    <row r="116" spans="1:12" ht="15.75" thickBot="1" x14ac:dyDescent="0.3">
      <c r="A116" s="147" t="str">
        <f>+'Anx I pg 1 oferta'!$B$18&amp;"T3_L08_inst_"&amp;B116&amp;"DA1"</f>
        <v>T3_L08_inst_L08-09DA1</v>
      </c>
      <c r="B116" s="348" t="s">
        <v>329</v>
      </c>
      <c r="C116" s="351" t="str">
        <f>+VLOOKUP(B116,'DATOS CENTROS'!B:E,2,FALSE)</f>
        <v>Calle  Sarriá 21 Plantas 3ª y 4ª  27400</v>
      </c>
      <c r="D116" s="354" t="str">
        <f>+VLOOKUP(B116,'DATOS CENTROS'!B:E,3,FALSE)</f>
        <v>C</v>
      </c>
      <c r="E116" s="357" t="str">
        <f>+VLOOKUP(B116,'DATOS CENTROS'!B:E,4,FALSE)</f>
        <v>S.U. Monforte de Lemos</v>
      </c>
      <c r="F116" s="360">
        <f>+VLOOKUP(B116,'DATOS CENTROS'!B:F,5,FALSE)</f>
        <v>1.9E-2</v>
      </c>
      <c r="G116" s="342" t="str">
        <f>+IF(G45&gt;0,G45,"")</f>
        <v/>
      </c>
      <c r="H116" s="213" t="s">
        <v>25</v>
      </c>
      <c r="I116" s="214">
        <v>0.15</v>
      </c>
      <c r="J116" s="215" t="e">
        <f>+IF($K$116&gt;0,+ROUND($K$116*I116,0),"")</f>
        <v>#VALUE!</v>
      </c>
      <c r="K116" s="345" t="str">
        <f>+IFERROR(IF(OR($G$18=0,LEN($G$18)=0),"",IF(AND(M45="ok",(H45/H45)=1),N45,"")),"¿?")</f>
        <v/>
      </c>
      <c r="L116" s="202"/>
    </row>
    <row r="117" spans="1:12" ht="15.75" thickBot="1" x14ac:dyDescent="0.3">
      <c r="A117" s="147" t="str">
        <f>+'Anx I pg 1 oferta'!$B$18&amp;"T3_L08_inst_"&amp;B116&amp;"DA2"</f>
        <v>T3_L08_inst_L08-09DA2</v>
      </c>
      <c r="B117" s="349"/>
      <c r="C117" s="352"/>
      <c r="D117" s="355"/>
      <c r="E117" s="358"/>
      <c r="F117" s="361"/>
      <c r="G117" s="343"/>
      <c r="H117" s="213" t="s">
        <v>26</v>
      </c>
      <c r="I117" s="214">
        <v>0.1</v>
      </c>
      <c r="J117" s="215" t="e">
        <f t="shared" ref="J117:J119" si="8">+IF($K$116&gt;0,+ROUND($K$116*I117,0),"")</f>
        <v>#VALUE!</v>
      </c>
      <c r="K117" s="346"/>
      <c r="L117" s="202"/>
    </row>
    <row r="118" spans="1:12" ht="15.75" thickBot="1" x14ac:dyDescent="0.3">
      <c r="A118" s="147" t="str">
        <f>+'Anx I pg 1 oferta'!$B$18&amp;"T3_L08_inst_"&amp;B116&amp;"DA3"</f>
        <v>T3_L08_inst_L08-09DA3</v>
      </c>
      <c r="B118" s="349"/>
      <c r="C118" s="352"/>
      <c r="D118" s="355"/>
      <c r="E118" s="358"/>
      <c r="F118" s="361"/>
      <c r="G118" s="343"/>
      <c r="H118" s="213" t="s">
        <v>27</v>
      </c>
      <c r="I118" s="214">
        <v>0.2</v>
      </c>
      <c r="J118" s="215" t="e">
        <f t="shared" si="8"/>
        <v>#VALUE!</v>
      </c>
      <c r="K118" s="346"/>
      <c r="L118" s="202"/>
    </row>
    <row r="119" spans="1:12" ht="15.75" thickBot="1" x14ac:dyDescent="0.3">
      <c r="A119" s="147" t="str">
        <f>+'Anx I pg 1 oferta'!$B$18&amp;"T3_L08_inst_"&amp;B116&amp;"DA4"</f>
        <v>T3_L08_inst_L08-09DA4</v>
      </c>
      <c r="B119" s="349"/>
      <c r="C119" s="352"/>
      <c r="D119" s="355"/>
      <c r="E119" s="358"/>
      <c r="F119" s="361"/>
      <c r="G119" s="343"/>
      <c r="H119" s="213" t="s">
        <v>57</v>
      </c>
      <c r="I119" s="214">
        <v>0.05</v>
      </c>
      <c r="J119" s="215" t="e">
        <f t="shared" si="8"/>
        <v>#VALUE!</v>
      </c>
      <c r="K119" s="346"/>
      <c r="L119" s="202"/>
    </row>
    <row r="120" spans="1:12" ht="15.75" thickBot="1" x14ac:dyDescent="0.3">
      <c r="A120" s="147" t="str">
        <f>+'Anx I pg 1 oferta'!$B$18&amp;"T3_L08_inst_"&amp;B116&amp;"DA5"</f>
        <v>T3_L08_inst_L08-09DA5</v>
      </c>
      <c r="B120" s="350"/>
      <c r="C120" s="353"/>
      <c r="D120" s="356"/>
      <c r="E120" s="359"/>
      <c r="F120" s="362"/>
      <c r="G120" s="344"/>
      <c r="H120" s="213" t="s">
        <v>364</v>
      </c>
      <c r="I120" s="214">
        <v>0.5</v>
      </c>
      <c r="J120" s="215" t="e">
        <f>+IF($K$116&gt;0,+$K$116-SUM(J116:J119),"")</f>
        <v>#VALUE!</v>
      </c>
      <c r="K120" s="347"/>
      <c r="L120" s="202"/>
    </row>
    <row r="121" spans="1:12" ht="15.75" thickBot="1" x14ac:dyDescent="0.3">
      <c r="A121" s="147" t="str">
        <f>+'Anx I pg 1 oferta'!$B$18&amp;"T3_L08_inst_"&amp;B121&amp;"DA1"</f>
        <v>T3_L08_inst_L08-10DA1</v>
      </c>
      <c r="B121" s="348" t="s">
        <v>331</v>
      </c>
      <c r="C121" s="351" t="str">
        <f>+VLOOKUP(B121,'DATOS CENTROS'!B:E,2,FALSE)</f>
        <v>Calle  Orense 63 Plta. 6  27004</v>
      </c>
      <c r="D121" s="354" t="str">
        <f>+VLOOKUP(B121,'DATOS CENTROS'!B:E,3,FALSE)</f>
        <v>C</v>
      </c>
      <c r="E121" s="357" t="str">
        <f>+VLOOKUP(B121,'DATOS CENTROS'!B:E,4,FALSE)</f>
        <v>U.I. RTVE Lugo</v>
      </c>
      <c r="F121" s="360">
        <f>+VLOOKUP(B121,'DATOS CENTROS'!B:F,5,FALSE)</f>
        <v>2.7E-2</v>
      </c>
      <c r="G121" s="342" t="str">
        <f>+IF(G47&gt;0,G47,"")</f>
        <v/>
      </c>
      <c r="H121" s="213" t="s">
        <v>25</v>
      </c>
      <c r="I121" s="214">
        <v>0.15</v>
      </c>
      <c r="J121" s="215" t="e">
        <f>+IF($K$121&gt;0,+ROUND($K$121*I121,0),"")</f>
        <v>#VALUE!</v>
      </c>
      <c r="K121" s="345" t="str">
        <f>+IFERROR(IF(OR($G$18=0,LEN($G$18)=0),"",IF(AND(M47="ok",(H47/H47)=1),N47,"")),"¿?")</f>
        <v/>
      </c>
      <c r="L121" s="202"/>
    </row>
    <row r="122" spans="1:12" ht="15.75" thickBot="1" x14ac:dyDescent="0.3">
      <c r="A122" s="147" t="str">
        <f>+'Anx I pg 1 oferta'!$B$18&amp;"T3_L08_inst_"&amp;B121&amp;"DA2"</f>
        <v>T3_L08_inst_L08-10DA2</v>
      </c>
      <c r="B122" s="349"/>
      <c r="C122" s="352"/>
      <c r="D122" s="355"/>
      <c r="E122" s="358"/>
      <c r="F122" s="361"/>
      <c r="G122" s="343"/>
      <c r="H122" s="213" t="s">
        <v>26</v>
      </c>
      <c r="I122" s="214">
        <v>0.1</v>
      </c>
      <c r="J122" s="215" t="e">
        <f t="shared" ref="J122:J124" si="9">+IF($K$121&gt;0,+ROUND($K$121*I122,0),"")</f>
        <v>#VALUE!</v>
      </c>
      <c r="K122" s="346"/>
      <c r="L122" s="202"/>
    </row>
    <row r="123" spans="1:12" ht="15.75" thickBot="1" x14ac:dyDescent="0.3">
      <c r="A123" s="147" t="str">
        <f>+'Anx I pg 1 oferta'!$B$18&amp;"T3_L08_inst_"&amp;B121&amp;"DA3"</f>
        <v>T3_L08_inst_L08-10DA3</v>
      </c>
      <c r="B123" s="349"/>
      <c r="C123" s="352"/>
      <c r="D123" s="355"/>
      <c r="E123" s="358"/>
      <c r="F123" s="361"/>
      <c r="G123" s="343"/>
      <c r="H123" s="213" t="s">
        <v>27</v>
      </c>
      <c r="I123" s="214">
        <v>0.2</v>
      </c>
      <c r="J123" s="215" t="e">
        <f t="shared" si="9"/>
        <v>#VALUE!</v>
      </c>
      <c r="K123" s="346"/>
      <c r="L123" s="202"/>
    </row>
    <row r="124" spans="1:12" ht="15.75" thickBot="1" x14ac:dyDescent="0.3">
      <c r="A124" s="147" t="str">
        <f>+'Anx I pg 1 oferta'!$B$18&amp;"T3_L08_inst_"&amp;B121&amp;"DA4"</f>
        <v>T3_L08_inst_L08-10DA4</v>
      </c>
      <c r="B124" s="349"/>
      <c r="C124" s="352"/>
      <c r="D124" s="355"/>
      <c r="E124" s="358"/>
      <c r="F124" s="361"/>
      <c r="G124" s="343"/>
      <c r="H124" s="213" t="s">
        <v>57</v>
      </c>
      <c r="I124" s="214">
        <v>0.05</v>
      </c>
      <c r="J124" s="215" t="e">
        <f t="shared" si="9"/>
        <v>#VALUE!</v>
      </c>
      <c r="K124" s="346"/>
      <c r="L124" s="202"/>
    </row>
    <row r="125" spans="1:12" ht="15.75" thickBot="1" x14ac:dyDescent="0.3">
      <c r="A125" s="147" t="str">
        <f>+'Anx I pg 1 oferta'!$B$18&amp;"T3_L08_inst_"&amp;B121&amp;"DA5"</f>
        <v>T3_L08_inst_L08-10DA5</v>
      </c>
      <c r="B125" s="350"/>
      <c r="C125" s="353"/>
      <c r="D125" s="356"/>
      <c r="E125" s="359"/>
      <c r="F125" s="362"/>
      <c r="G125" s="344"/>
      <c r="H125" s="213" t="s">
        <v>364</v>
      </c>
      <c r="I125" s="214">
        <v>0.5</v>
      </c>
      <c r="J125" s="215" t="e">
        <f>+IF($K$121&gt;0,+$K$121-SUM(J121:J124),"")</f>
        <v>#VALUE!</v>
      </c>
      <c r="K125" s="347"/>
      <c r="L125" s="202"/>
    </row>
    <row r="126" spans="1:12" ht="15.75" thickBot="1" x14ac:dyDescent="0.3">
      <c r="A126" s="147" t="str">
        <f>+'Anx I pg 1 oferta'!$B$18&amp;"T3_L08_inst_"&amp;B126&amp;"DA1"</f>
        <v>T3_L08_inst_L08-11DA1</v>
      </c>
      <c r="B126" s="348" t="s">
        <v>333</v>
      </c>
      <c r="C126" s="351" t="str">
        <f>+VLOOKUP(B126,'DATOS CENTROS'!B:E,2,FALSE)</f>
        <v>Calle  do Progreso 115   32003</v>
      </c>
      <c r="D126" s="354" t="str">
        <f>+VLOOKUP(B126,'DATOS CENTROS'!B:E,3,FALSE)</f>
        <v>C</v>
      </c>
      <c r="E126" s="357" t="str">
        <f>+VLOOKUP(B126,'DATOS CENTROS'!B:E,4,FALSE)</f>
        <v>U.I. RTVE Orense</v>
      </c>
      <c r="F126" s="360">
        <f>+VLOOKUP(B126,'DATOS CENTROS'!B:F,5,FALSE)</f>
        <v>3.5000000000000003E-2</v>
      </c>
      <c r="G126" s="342" t="str">
        <f>+IF(G49&gt;0,G49,"")</f>
        <v/>
      </c>
      <c r="H126" s="213" t="s">
        <v>25</v>
      </c>
      <c r="I126" s="214">
        <v>0.15</v>
      </c>
      <c r="J126" s="215" t="e">
        <f>+IF($K$126&gt;0,+ROUND($K$126*I126,0),"")</f>
        <v>#VALUE!</v>
      </c>
      <c r="K126" s="345" t="str">
        <f>+IFERROR(IF(OR($G$18=0,LEN($G$18)=0),"",IF(AND(M49="ok",(H49/H49)=1),N49,"")),"¿?")</f>
        <v/>
      </c>
      <c r="L126" s="202"/>
    </row>
    <row r="127" spans="1:12" ht="15.75" thickBot="1" x14ac:dyDescent="0.3">
      <c r="A127" s="147" t="str">
        <f>+'Anx I pg 1 oferta'!$B$18&amp;"T3_L08_inst_"&amp;B126&amp;"DA2"</f>
        <v>T3_L08_inst_L08-11DA2</v>
      </c>
      <c r="B127" s="349"/>
      <c r="C127" s="352"/>
      <c r="D127" s="355"/>
      <c r="E127" s="358"/>
      <c r="F127" s="361"/>
      <c r="G127" s="343"/>
      <c r="H127" s="213" t="s">
        <v>26</v>
      </c>
      <c r="I127" s="214">
        <v>0.1</v>
      </c>
      <c r="J127" s="215" t="e">
        <f t="shared" ref="J127:J129" si="10">+IF($K$126&gt;0,+ROUND($K$126*I127,0),"")</f>
        <v>#VALUE!</v>
      </c>
      <c r="K127" s="346"/>
      <c r="L127" s="202"/>
    </row>
    <row r="128" spans="1:12" ht="15.75" thickBot="1" x14ac:dyDescent="0.3">
      <c r="A128" s="147" t="str">
        <f>+'Anx I pg 1 oferta'!$B$18&amp;"T3_L08_inst_"&amp;B126&amp;"DA3"</f>
        <v>T3_L08_inst_L08-11DA3</v>
      </c>
      <c r="B128" s="349"/>
      <c r="C128" s="352"/>
      <c r="D128" s="355"/>
      <c r="E128" s="358"/>
      <c r="F128" s="361"/>
      <c r="G128" s="343"/>
      <c r="H128" s="213" t="s">
        <v>27</v>
      </c>
      <c r="I128" s="214">
        <v>0.2</v>
      </c>
      <c r="J128" s="215" t="e">
        <f t="shared" si="10"/>
        <v>#VALUE!</v>
      </c>
      <c r="K128" s="346"/>
      <c r="L128" s="202"/>
    </row>
    <row r="129" spans="1:12" ht="15.75" thickBot="1" x14ac:dyDescent="0.3">
      <c r="A129" s="147" t="str">
        <f>+'Anx I pg 1 oferta'!$B$18&amp;"T3_L08_inst_"&amp;B126&amp;"DA4"</f>
        <v>T3_L08_inst_L08-11DA4</v>
      </c>
      <c r="B129" s="349"/>
      <c r="C129" s="352"/>
      <c r="D129" s="355"/>
      <c r="E129" s="358"/>
      <c r="F129" s="361"/>
      <c r="G129" s="343"/>
      <c r="H129" s="213" t="s">
        <v>57</v>
      </c>
      <c r="I129" s="214">
        <v>0.05</v>
      </c>
      <c r="J129" s="215" t="e">
        <f t="shared" si="10"/>
        <v>#VALUE!</v>
      </c>
      <c r="K129" s="346"/>
      <c r="L129" s="202"/>
    </row>
    <row r="130" spans="1:12" ht="15.75" thickBot="1" x14ac:dyDescent="0.3">
      <c r="A130" s="147" t="str">
        <f>+'Anx I pg 1 oferta'!$B$18&amp;"T3_L08_inst_"&amp;B126&amp;"DA5"</f>
        <v>T3_L08_inst_L08-11DA5</v>
      </c>
      <c r="B130" s="350"/>
      <c r="C130" s="353"/>
      <c r="D130" s="356"/>
      <c r="E130" s="359"/>
      <c r="F130" s="362"/>
      <c r="G130" s="344"/>
      <c r="H130" s="213" t="s">
        <v>364</v>
      </c>
      <c r="I130" s="214">
        <v>0.5</v>
      </c>
      <c r="J130" s="215" t="e">
        <f>+IF($K$126&gt;0,+$K$126-SUM(J126:J129),"")</f>
        <v>#VALUE!</v>
      </c>
      <c r="K130" s="347"/>
      <c r="L130" s="202"/>
    </row>
    <row r="131" spans="1:12" ht="15.75" customHeight="1" thickBot="1" x14ac:dyDescent="0.3">
      <c r="A131" s="147" t="str">
        <f>+'Anx I pg 1 oferta'!$B$18&amp;"T3_L08_inst_"&amp;B131&amp;"DA1"</f>
        <v>T3_L08_inst_L08-12DA1</v>
      </c>
      <c r="B131" s="348" t="s">
        <v>335</v>
      </c>
      <c r="C131" s="351" t="str">
        <f>+VLOOKUP(B131,'DATOS CENTROS'!B:E,2,FALSE)</f>
        <v>Calle  Venezuela 4 Bajo  36203</v>
      </c>
      <c r="D131" s="354" t="str">
        <f>+VLOOKUP(B131,'DATOS CENTROS'!B:E,3,FALSE)</f>
        <v>C</v>
      </c>
      <c r="E131" s="357" t="str">
        <f>+VLOOKUP(B131,'DATOS CENTROS'!B:E,4,FALSE)</f>
        <v>S.U. Vigo (Venezuela)</v>
      </c>
      <c r="F131" s="360">
        <f>+VLOOKUP(B131,'DATOS CENTROS'!B:F,5,FALSE)</f>
        <v>2.7E-2</v>
      </c>
      <c r="G131" s="342" t="str">
        <f>+IF(G51&gt;0,G51,"")</f>
        <v/>
      </c>
      <c r="H131" s="213" t="s">
        <v>25</v>
      </c>
      <c r="I131" s="214">
        <v>0.15</v>
      </c>
      <c r="J131" s="215" t="e">
        <f>+IF($K$131&gt;0,+ROUND($K$131*I131,0),"")</f>
        <v>#VALUE!</v>
      </c>
      <c r="K131" s="345" t="str">
        <f>+IFERROR(IF(OR($G$18=0,LEN($G$18)=0),"",IF(AND(M51="ok",(H51/H51)=1),N51,"")),"¿?")</f>
        <v/>
      </c>
      <c r="L131" s="202"/>
    </row>
    <row r="132" spans="1:12" ht="15.75" thickBot="1" x14ac:dyDescent="0.3">
      <c r="A132" s="147" t="str">
        <f>+'Anx I pg 1 oferta'!$B$18&amp;"T3_L08_inst_"&amp;B131&amp;"DA2"</f>
        <v>T3_L08_inst_L08-12DA2</v>
      </c>
      <c r="B132" s="349"/>
      <c r="C132" s="352"/>
      <c r="D132" s="355"/>
      <c r="E132" s="358"/>
      <c r="F132" s="361"/>
      <c r="G132" s="343"/>
      <c r="H132" s="213" t="s">
        <v>26</v>
      </c>
      <c r="I132" s="214">
        <v>0.1</v>
      </c>
      <c r="J132" s="215" t="e">
        <f t="shared" ref="J132:J134" si="11">+IF($K$131&gt;0,+ROUND($K$131*I132,0),"")</f>
        <v>#VALUE!</v>
      </c>
      <c r="K132" s="346"/>
      <c r="L132" s="202"/>
    </row>
    <row r="133" spans="1:12" ht="15.75" thickBot="1" x14ac:dyDescent="0.3">
      <c r="A133" s="147" t="str">
        <f>+'Anx I pg 1 oferta'!$B$18&amp;"T3_L08_inst_"&amp;B131&amp;"DA3"</f>
        <v>T3_L08_inst_L08-12DA3</v>
      </c>
      <c r="B133" s="349"/>
      <c r="C133" s="352"/>
      <c r="D133" s="355"/>
      <c r="E133" s="358"/>
      <c r="F133" s="361"/>
      <c r="G133" s="343"/>
      <c r="H133" s="213" t="s">
        <v>27</v>
      </c>
      <c r="I133" s="214">
        <v>0.2</v>
      </c>
      <c r="J133" s="215" t="e">
        <f t="shared" si="11"/>
        <v>#VALUE!</v>
      </c>
      <c r="K133" s="346"/>
      <c r="L133" s="202"/>
    </row>
    <row r="134" spans="1:12" ht="15.75" thickBot="1" x14ac:dyDescent="0.3">
      <c r="A134" s="147" t="str">
        <f>+'Anx I pg 1 oferta'!$B$18&amp;"T3_L08_inst_"&amp;B131&amp;"DA4"</f>
        <v>T3_L08_inst_L08-12DA4</v>
      </c>
      <c r="B134" s="349"/>
      <c r="C134" s="352"/>
      <c r="D134" s="355"/>
      <c r="E134" s="358"/>
      <c r="F134" s="361"/>
      <c r="G134" s="343"/>
      <c r="H134" s="213" t="s">
        <v>57</v>
      </c>
      <c r="I134" s="214">
        <v>0.05</v>
      </c>
      <c r="J134" s="215" t="e">
        <f t="shared" si="11"/>
        <v>#VALUE!</v>
      </c>
      <c r="K134" s="346"/>
      <c r="L134" s="202"/>
    </row>
    <row r="135" spans="1:12" ht="15.75" thickBot="1" x14ac:dyDescent="0.3">
      <c r="A135" s="147" t="str">
        <f>+'Anx I pg 1 oferta'!$B$18&amp;"T3_L08_inst_"&amp;B131&amp;"DA5"</f>
        <v>T3_L08_inst_L08-12DA5</v>
      </c>
      <c r="B135" s="350"/>
      <c r="C135" s="353"/>
      <c r="D135" s="356"/>
      <c r="E135" s="359"/>
      <c r="F135" s="362"/>
      <c r="G135" s="344"/>
      <c r="H135" s="213" t="s">
        <v>364</v>
      </c>
      <c r="I135" s="214">
        <v>0.5</v>
      </c>
      <c r="J135" s="215" t="e">
        <f>+IF($K$131&gt;0,+$K$131-SUM(J131:J134),"")</f>
        <v>#VALUE!</v>
      </c>
      <c r="K135" s="347"/>
      <c r="L135" s="202"/>
    </row>
    <row r="136" spans="1:12" ht="15.75" thickBot="1" x14ac:dyDescent="0.3">
      <c r="A136" s="147" t="str">
        <f>+'Anx I pg 1 oferta'!$B$18&amp;"T3_L08_inst_"&amp;B136&amp;"DA1"</f>
        <v>T3_L08_inst_L08-13DA1</v>
      </c>
      <c r="B136" s="348" t="s">
        <v>337</v>
      </c>
      <c r="C136" s="351" t="str">
        <f>+VLOOKUP(B136,'DATOS CENTROS'!B:E,2,FALSE)</f>
        <v>Calle  Lepanto 7-9 Bajo  36001</v>
      </c>
      <c r="D136" s="354" t="str">
        <f>+VLOOKUP(B136,'DATOS CENTROS'!B:E,3,FALSE)</f>
        <v>C</v>
      </c>
      <c r="E136" s="357" t="str">
        <f>+VLOOKUP(B136,'DATOS CENTROS'!B:E,4,FALSE)</f>
        <v>U.I. RTVE Pontevedra</v>
      </c>
      <c r="F136" s="360">
        <f>+VLOOKUP(B136,'DATOS CENTROS'!B:F,5,FALSE)</f>
        <v>2.3E-2</v>
      </c>
      <c r="G136" s="342" t="str">
        <f>+IF(G53&gt;0,G53,"")</f>
        <v/>
      </c>
      <c r="H136" s="213" t="s">
        <v>25</v>
      </c>
      <c r="I136" s="214">
        <v>0.15</v>
      </c>
      <c r="J136" s="215" t="e">
        <f>+IF($K$136&gt;0,+ROUND($K$136*I136,0),"")</f>
        <v>#VALUE!</v>
      </c>
      <c r="K136" s="345" t="str">
        <f>+IFERROR(IF(OR($G$18=0,LEN($G$18)=0),"",IF(AND(M53="ok",(H53/H53)=1),N53,"")),"¿?")</f>
        <v/>
      </c>
      <c r="L136" s="202"/>
    </row>
    <row r="137" spans="1:12" ht="15.75" thickBot="1" x14ac:dyDescent="0.3">
      <c r="A137" s="147" t="str">
        <f>+'Anx I pg 1 oferta'!$B$18&amp;"T3_L08_inst_"&amp;B136&amp;"DA2"</f>
        <v>T3_L08_inst_L08-13DA2</v>
      </c>
      <c r="B137" s="349"/>
      <c r="C137" s="352"/>
      <c r="D137" s="355"/>
      <c r="E137" s="358"/>
      <c r="F137" s="361"/>
      <c r="G137" s="343"/>
      <c r="H137" s="213" t="s">
        <v>26</v>
      </c>
      <c r="I137" s="214">
        <v>0.1</v>
      </c>
      <c r="J137" s="215" t="e">
        <f t="shared" ref="J137:J139" si="12">+IF($K$136&gt;0,+ROUND($K$136*I137,0),"")</f>
        <v>#VALUE!</v>
      </c>
      <c r="K137" s="346"/>
      <c r="L137" s="202"/>
    </row>
    <row r="138" spans="1:12" ht="15.75" thickBot="1" x14ac:dyDescent="0.3">
      <c r="A138" s="147" t="str">
        <f>+'Anx I pg 1 oferta'!$B$18&amp;"T3_L08_inst_"&amp;B136&amp;"DA3"</f>
        <v>T3_L08_inst_L08-13DA3</v>
      </c>
      <c r="B138" s="349"/>
      <c r="C138" s="352"/>
      <c r="D138" s="355"/>
      <c r="E138" s="358"/>
      <c r="F138" s="361"/>
      <c r="G138" s="343"/>
      <c r="H138" s="213" t="s">
        <v>27</v>
      </c>
      <c r="I138" s="214">
        <v>0.2</v>
      </c>
      <c r="J138" s="215" t="e">
        <f t="shared" si="12"/>
        <v>#VALUE!</v>
      </c>
      <c r="K138" s="346"/>
      <c r="L138" s="202"/>
    </row>
    <row r="139" spans="1:12" ht="15.75" thickBot="1" x14ac:dyDescent="0.3">
      <c r="A139" s="147" t="str">
        <f>+'Anx I pg 1 oferta'!$B$18&amp;"T3_L08_inst_"&amp;B136&amp;"DA4"</f>
        <v>T3_L08_inst_L08-13DA4</v>
      </c>
      <c r="B139" s="349"/>
      <c r="C139" s="352"/>
      <c r="D139" s="355"/>
      <c r="E139" s="358"/>
      <c r="F139" s="361"/>
      <c r="G139" s="343"/>
      <c r="H139" s="213" t="s">
        <v>57</v>
      </c>
      <c r="I139" s="214">
        <v>0.05</v>
      </c>
      <c r="J139" s="215" t="e">
        <f t="shared" si="12"/>
        <v>#VALUE!</v>
      </c>
      <c r="K139" s="346"/>
      <c r="L139" s="202"/>
    </row>
    <row r="140" spans="1:12" ht="15.75" thickBot="1" x14ac:dyDescent="0.3">
      <c r="A140" s="147" t="str">
        <f>+'Anx I pg 1 oferta'!$B$18&amp;"T3_L08_inst_"&amp;B136&amp;"DA5"</f>
        <v>T3_L08_inst_L08-13DA5</v>
      </c>
      <c r="B140" s="350"/>
      <c r="C140" s="353"/>
      <c r="D140" s="356"/>
      <c r="E140" s="359"/>
      <c r="F140" s="362"/>
      <c r="G140" s="344"/>
      <c r="H140" s="213" t="s">
        <v>364</v>
      </c>
      <c r="I140" s="214">
        <v>0.5</v>
      </c>
      <c r="J140" s="215" t="e">
        <f>+IF($K$136&gt;0,+$K$136-SUM(J136:J139),"")</f>
        <v>#VALUE!</v>
      </c>
      <c r="K140" s="347"/>
      <c r="L140" s="202"/>
    </row>
    <row r="141" spans="1:12" ht="15.75" hidden="1" thickBot="1" x14ac:dyDescent="0.3">
      <c r="A141" s="147" t="s">
        <v>544</v>
      </c>
      <c r="B141" s="348"/>
      <c r="C141" s="351"/>
      <c r="D141" s="354"/>
      <c r="E141" s="357"/>
      <c r="F141" s="360"/>
      <c r="G141" s="342"/>
      <c r="H141" s="213"/>
      <c r="I141" s="214"/>
      <c r="J141" s="215"/>
      <c r="K141" s="345"/>
      <c r="L141" s="202"/>
    </row>
    <row r="142" spans="1:12" ht="15.75" hidden="1" thickBot="1" x14ac:dyDescent="0.3">
      <c r="A142" s="147" t="s">
        <v>544</v>
      </c>
      <c r="B142" s="349"/>
      <c r="C142" s="352"/>
      <c r="D142" s="355"/>
      <c r="E142" s="358"/>
      <c r="F142" s="361"/>
      <c r="G142" s="343"/>
      <c r="H142" s="213"/>
      <c r="I142" s="214"/>
      <c r="J142" s="215"/>
      <c r="K142" s="346"/>
      <c r="L142" s="202"/>
    </row>
    <row r="143" spans="1:12" ht="15.75" hidden="1" thickBot="1" x14ac:dyDescent="0.3">
      <c r="A143" s="147" t="s">
        <v>544</v>
      </c>
      <c r="B143" s="349"/>
      <c r="C143" s="352"/>
      <c r="D143" s="355"/>
      <c r="E143" s="358"/>
      <c r="F143" s="361"/>
      <c r="G143" s="343"/>
      <c r="H143" s="213"/>
      <c r="I143" s="214"/>
      <c r="J143" s="215"/>
      <c r="K143" s="346"/>
      <c r="L143" s="202"/>
    </row>
    <row r="144" spans="1:12" ht="15.75" hidden="1" thickBot="1" x14ac:dyDescent="0.3">
      <c r="A144" s="147" t="s">
        <v>544</v>
      </c>
      <c r="B144" s="349"/>
      <c r="C144" s="352"/>
      <c r="D144" s="355"/>
      <c r="E144" s="358"/>
      <c r="F144" s="361"/>
      <c r="G144" s="343"/>
      <c r="H144" s="213"/>
      <c r="I144" s="214"/>
      <c r="J144" s="215"/>
      <c r="K144" s="346"/>
      <c r="L144" s="202"/>
    </row>
    <row r="145" spans="1:12" ht="15.75" hidden="1" thickBot="1" x14ac:dyDescent="0.3">
      <c r="A145" s="147" t="s">
        <v>544</v>
      </c>
      <c r="B145" s="350"/>
      <c r="C145" s="353"/>
      <c r="D145" s="356"/>
      <c r="E145" s="359"/>
      <c r="F145" s="362"/>
      <c r="G145" s="344"/>
      <c r="H145" s="213"/>
      <c r="I145" s="214"/>
      <c r="J145" s="215"/>
      <c r="K145" s="347"/>
      <c r="L145" s="202"/>
    </row>
    <row r="146" spans="1:12" ht="15.75" hidden="1" thickBot="1" x14ac:dyDescent="0.3">
      <c r="A146" s="147" t="s">
        <v>544</v>
      </c>
      <c r="B146" s="348"/>
      <c r="C146" s="351"/>
      <c r="D146" s="354"/>
      <c r="E146" s="357"/>
      <c r="F146" s="360"/>
      <c r="G146" s="342"/>
      <c r="H146" s="213"/>
      <c r="I146" s="214"/>
      <c r="J146" s="215"/>
      <c r="K146" s="345"/>
      <c r="L146" s="202"/>
    </row>
    <row r="147" spans="1:12" ht="15.75" hidden="1" thickBot="1" x14ac:dyDescent="0.3">
      <c r="A147" s="147" t="s">
        <v>544</v>
      </c>
      <c r="B147" s="349"/>
      <c r="C147" s="352"/>
      <c r="D147" s="355"/>
      <c r="E147" s="358"/>
      <c r="F147" s="361"/>
      <c r="G147" s="343"/>
      <c r="H147" s="213"/>
      <c r="I147" s="214"/>
      <c r="J147" s="215"/>
      <c r="K147" s="346"/>
      <c r="L147" s="202"/>
    </row>
    <row r="148" spans="1:12" ht="15.75" hidden="1" thickBot="1" x14ac:dyDescent="0.3">
      <c r="A148" s="147" t="s">
        <v>544</v>
      </c>
      <c r="B148" s="349"/>
      <c r="C148" s="352"/>
      <c r="D148" s="355"/>
      <c r="E148" s="358"/>
      <c r="F148" s="361"/>
      <c r="G148" s="343"/>
      <c r="H148" s="213"/>
      <c r="I148" s="214"/>
      <c r="J148" s="215"/>
      <c r="K148" s="346"/>
      <c r="L148" s="202"/>
    </row>
    <row r="149" spans="1:12" ht="15.75" hidden="1" thickBot="1" x14ac:dyDescent="0.3">
      <c r="A149" s="147" t="s">
        <v>544</v>
      </c>
      <c r="B149" s="349"/>
      <c r="C149" s="352"/>
      <c r="D149" s="355"/>
      <c r="E149" s="358"/>
      <c r="F149" s="361"/>
      <c r="G149" s="343"/>
      <c r="H149" s="213"/>
      <c r="I149" s="214"/>
      <c r="J149" s="215"/>
      <c r="K149" s="346"/>
      <c r="L149" s="202"/>
    </row>
    <row r="150" spans="1:12" ht="15.75" hidden="1" thickBot="1" x14ac:dyDescent="0.3">
      <c r="A150" s="147" t="s">
        <v>544</v>
      </c>
      <c r="B150" s="350"/>
      <c r="C150" s="353"/>
      <c r="D150" s="356"/>
      <c r="E150" s="359"/>
      <c r="F150" s="362"/>
      <c r="G150" s="344"/>
      <c r="H150" s="213"/>
      <c r="I150" s="214"/>
      <c r="J150" s="215"/>
      <c r="K150" s="347"/>
      <c r="L150" s="202"/>
    </row>
    <row r="151" spans="1:12" ht="15.75" hidden="1" thickBot="1" x14ac:dyDescent="0.3">
      <c r="A151" s="147" t="s">
        <v>544</v>
      </c>
      <c r="B151" s="348"/>
      <c r="C151" s="351"/>
      <c r="D151" s="354"/>
      <c r="E151" s="357"/>
      <c r="F151" s="360"/>
      <c r="G151" s="342"/>
      <c r="H151" s="213"/>
      <c r="I151" s="214"/>
      <c r="J151" s="215"/>
      <c r="K151" s="345"/>
      <c r="L151" s="202"/>
    </row>
    <row r="152" spans="1:12" ht="15.75" hidden="1" thickBot="1" x14ac:dyDescent="0.3">
      <c r="A152" s="147" t="s">
        <v>544</v>
      </c>
      <c r="B152" s="349"/>
      <c r="C152" s="352"/>
      <c r="D152" s="355"/>
      <c r="E152" s="358"/>
      <c r="F152" s="361"/>
      <c r="G152" s="343"/>
      <c r="H152" s="213"/>
      <c r="I152" s="214"/>
      <c r="J152" s="215"/>
      <c r="K152" s="346"/>
      <c r="L152" s="202"/>
    </row>
    <row r="153" spans="1:12" ht="15.75" hidden="1" thickBot="1" x14ac:dyDescent="0.3">
      <c r="A153" s="147" t="s">
        <v>544</v>
      </c>
      <c r="B153" s="349"/>
      <c r="C153" s="352"/>
      <c r="D153" s="355"/>
      <c r="E153" s="358"/>
      <c r="F153" s="361"/>
      <c r="G153" s="343"/>
      <c r="H153" s="213"/>
      <c r="I153" s="214"/>
      <c r="J153" s="215"/>
      <c r="K153" s="346"/>
      <c r="L153" s="202"/>
    </row>
    <row r="154" spans="1:12" ht="15.75" hidden="1" thickBot="1" x14ac:dyDescent="0.3">
      <c r="A154" s="147" t="s">
        <v>544</v>
      </c>
      <c r="B154" s="349"/>
      <c r="C154" s="352"/>
      <c r="D154" s="355"/>
      <c r="E154" s="358"/>
      <c r="F154" s="361"/>
      <c r="G154" s="343"/>
      <c r="H154" s="213"/>
      <c r="I154" s="214"/>
      <c r="J154" s="215"/>
      <c r="K154" s="346"/>
      <c r="L154" s="202"/>
    </row>
    <row r="155" spans="1:12" ht="15.75" hidden="1" thickBot="1" x14ac:dyDescent="0.3">
      <c r="A155" s="147" t="s">
        <v>544</v>
      </c>
      <c r="B155" s="350"/>
      <c r="C155" s="353"/>
      <c r="D155" s="356"/>
      <c r="E155" s="359"/>
      <c r="F155" s="362"/>
      <c r="G155" s="344"/>
      <c r="H155" s="213"/>
      <c r="I155" s="214"/>
      <c r="J155" s="215"/>
      <c r="K155" s="347"/>
      <c r="L155" s="202"/>
    </row>
    <row r="156" spans="1:12" ht="15.75" hidden="1" customHeight="1" thickBot="1" x14ac:dyDescent="0.3">
      <c r="A156" s="147" t="s">
        <v>544</v>
      </c>
      <c r="B156" s="348"/>
      <c r="C156" s="351"/>
      <c r="D156" s="354"/>
      <c r="E156" s="357"/>
      <c r="F156" s="360"/>
      <c r="G156" s="342"/>
      <c r="H156" s="213"/>
      <c r="I156" s="214"/>
      <c r="J156" s="215"/>
      <c r="K156" s="345"/>
      <c r="L156" s="202"/>
    </row>
    <row r="157" spans="1:12" ht="15.75" hidden="1" thickBot="1" x14ac:dyDescent="0.3">
      <c r="A157" s="147" t="s">
        <v>544</v>
      </c>
      <c r="B157" s="349"/>
      <c r="C157" s="352"/>
      <c r="D157" s="355"/>
      <c r="E157" s="358"/>
      <c r="F157" s="361"/>
      <c r="G157" s="343"/>
      <c r="H157" s="213"/>
      <c r="I157" s="214"/>
      <c r="J157" s="215"/>
      <c r="K157" s="346"/>
      <c r="L157" s="202"/>
    </row>
    <row r="158" spans="1:12" ht="15.75" hidden="1" thickBot="1" x14ac:dyDescent="0.3">
      <c r="A158" s="147" t="s">
        <v>544</v>
      </c>
      <c r="B158" s="349"/>
      <c r="C158" s="352"/>
      <c r="D158" s="355"/>
      <c r="E158" s="358"/>
      <c r="F158" s="361"/>
      <c r="G158" s="343"/>
      <c r="H158" s="213"/>
      <c r="I158" s="214"/>
      <c r="J158" s="215"/>
      <c r="K158" s="346"/>
      <c r="L158" s="202"/>
    </row>
    <row r="159" spans="1:12" ht="15.75" hidden="1" thickBot="1" x14ac:dyDescent="0.3">
      <c r="A159" s="147" t="s">
        <v>544</v>
      </c>
      <c r="B159" s="349"/>
      <c r="C159" s="352"/>
      <c r="D159" s="355"/>
      <c r="E159" s="358"/>
      <c r="F159" s="361"/>
      <c r="G159" s="343"/>
      <c r="H159" s="213"/>
      <c r="I159" s="214"/>
      <c r="J159" s="215"/>
      <c r="K159" s="346"/>
      <c r="L159" s="202"/>
    </row>
    <row r="160" spans="1:12" ht="15.75" hidden="1" thickBot="1" x14ac:dyDescent="0.3">
      <c r="A160" s="147" t="s">
        <v>544</v>
      </c>
      <c r="B160" s="350"/>
      <c r="C160" s="353"/>
      <c r="D160" s="356"/>
      <c r="E160" s="359"/>
      <c r="F160" s="362"/>
      <c r="G160" s="344"/>
      <c r="H160" s="213"/>
      <c r="I160" s="214"/>
      <c r="J160" s="215"/>
      <c r="K160" s="347"/>
      <c r="L160" s="202"/>
    </row>
    <row r="161" spans="1:12" ht="15.75" hidden="1" thickBot="1" x14ac:dyDescent="0.3">
      <c r="A161" s="147" t="s">
        <v>544</v>
      </c>
      <c r="B161" s="348"/>
      <c r="C161" s="351"/>
      <c r="D161" s="354"/>
      <c r="E161" s="357"/>
      <c r="F161" s="360"/>
      <c r="G161" s="342"/>
      <c r="H161" s="213"/>
      <c r="I161" s="214"/>
      <c r="J161" s="215"/>
      <c r="K161" s="345"/>
      <c r="L161" s="202"/>
    </row>
    <row r="162" spans="1:12" ht="15.75" hidden="1" thickBot="1" x14ac:dyDescent="0.3">
      <c r="A162" s="147" t="s">
        <v>544</v>
      </c>
      <c r="B162" s="349"/>
      <c r="C162" s="352"/>
      <c r="D162" s="355"/>
      <c r="E162" s="358"/>
      <c r="F162" s="361"/>
      <c r="G162" s="343"/>
      <c r="H162" s="213"/>
      <c r="I162" s="214"/>
      <c r="J162" s="215"/>
      <c r="K162" s="346"/>
      <c r="L162" s="202"/>
    </row>
    <row r="163" spans="1:12" ht="15.75" hidden="1" thickBot="1" x14ac:dyDescent="0.3">
      <c r="A163" s="147" t="s">
        <v>544</v>
      </c>
      <c r="B163" s="349"/>
      <c r="C163" s="352"/>
      <c r="D163" s="355"/>
      <c r="E163" s="358"/>
      <c r="F163" s="361"/>
      <c r="G163" s="343"/>
      <c r="H163" s="213"/>
      <c r="I163" s="214"/>
      <c r="J163" s="215"/>
      <c r="K163" s="346"/>
      <c r="L163" s="202"/>
    </row>
    <row r="164" spans="1:12" ht="15.75" hidden="1" thickBot="1" x14ac:dyDescent="0.3">
      <c r="A164" s="147" t="s">
        <v>544</v>
      </c>
      <c r="B164" s="349"/>
      <c r="C164" s="352"/>
      <c r="D164" s="355"/>
      <c r="E164" s="358"/>
      <c r="F164" s="361"/>
      <c r="G164" s="343"/>
      <c r="H164" s="213"/>
      <c r="I164" s="214"/>
      <c r="J164" s="215"/>
      <c r="K164" s="346"/>
      <c r="L164" s="202"/>
    </row>
    <row r="165" spans="1:12" ht="15.75" hidden="1" thickBot="1" x14ac:dyDescent="0.3">
      <c r="A165" s="147" t="s">
        <v>544</v>
      </c>
      <c r="B165" s="350"/>
      <c r="C165" s="353"/>
      <c r="D165" s="356"/>
      <c r="E165" s="359"/>
      <c r="F165" s="362"/>
      <c r="G165" s="344"/>
      <c r="H165" s="213"/>
      <c r="I165" s="214"/>
      <c r="J165" s="215"/>
      <c r="K165" s="347"/>
      <c r="L165" s="202"/>
    </row>
    <row r="166" spans="1:12" x14ac:dyDescent="0.25">
      <c r="A166" s="147" t="str">
        <f>+'Anx I pg 1 oferta'!$B$18&amp;"T3_L08_TOT"</f>
        <v>T3_L08_TOT</v>
      </c>
      <c r="B166" s="278" t="s">
        <v>390</v>
      </c>
      <c r="C166" s="122"/>
      <c r="D166" s="122"/>
      <c r="E166" s="122"/>
      <c r="F166" s="285">
        <f>SUM(F76:F165)</f>
        <v>1.0000000000000002</v>
      </c>
      <c r="G166" s="285">
        <f>SUM(G76:G165)</f>
        <v>0</v>
      </c>
      <c r="H166" s="122"/>
      <c r="I166" s="122"/>
      <c r="J166" s="287" t="e">
        <f>SUM(J76:J165)</f>
        <v>#VALUE!</v>
      </c>
      <c r="K166" s="287">
        <f>SUM(K76:K165)</f>
        <v>0</v>
      </c>
    </row>
    <row r="167" spans="1:12" x14ac:dyDescent="0.25">
      <c r="A167" s="147" t="s">
        <v>544</v>
      </c>
      <c r="B167" s="122" t="s">
        <v>390</v>
      </c>
      <c r="C167" s="122"/>
      <c r="D167" s="122"/>
      <c r="E167" s="122"/>
      <c r="F167" s="122"/>
      <c r="G167" s="122"/>
      <c r="H167" s="122"/>
      <c r="I167" s="122"/>
      <c r="J167" s="122"/>
      <c r="K167" s="122"/>
    </row>
    <row r="168" spans="1:12" x14ac:dyDescent="0.25">
      <c r="A168" s="147" t="s">
        <v>544</v>
      </c>
      <c r="B168" s="122" t="s">
        <v>390</v>
      </c>
      <c r="C168" s="122"/>
      <c r="D168" s="122"/>
      <c r="E168" s="122"/>
      <c r="F168" s="122"/>
      <c r="G168" s="122"/>
      <c r="H168" s="122"/>
      <c r="I168" s="122"/>
      <c r="J168" s="122"/>
      <c r="K168" s="122"/>
    </row>
    <row r="169" spans="1:12" x14ac:dyDescent="0.25">
      <c r="A169" s="122" t="s">
        <v>542</v>
      </c>
      <c r="B169" s="122" t="s">
        <v>390</v>
      </c>
      <c r="C169" s="122"/>
      <c r="D169" s="122"/>
      <c r="E169" s="122"/>
      <c r="F169" s="122"/>
      <c r="G169" s="122"/>
      <c r="H169" s="122"/>
      <c r="I169" s="122" t="s">
        <v>372</v>
      </c>
      <c r="J169" s="284" t="e">
        <f>+J76+J81+J86+J91+J96+J101+J106+J111+J116+J121+J126+J131+J136+J141+J146+J151+J156+J161</f>
        <v>#VALUE!</v>
      </c>
      <c r="K169" s="122"/>
    </row>
    <row r="170" spans="1:12" x14ac:dyDescent="0.25">
      <c r="A170" s="122" t="s">
        <v>542</v>
      </c>
      <c r="B170" s="122" t="s">
        <v>390</v>
      </c>
      <c r="C170" s="122"/>
      <c r="D170" s="122"/>
      <c r="E170" s="122"/>
      <c r="F170" s="122"/>
      <c r="G170" s="122"/>
      <c r="H170" s="122"/>
      <c r="I170" s="122" t="s">
        <v>374</v>
      </c>
      <c r="J170" s="284" t="e">
        <f t="shared" ref="J170:J173" si="13">+J77+J82+J87+J92+J97+J102+J107+J112+J117+J122+J127+J132+J137+J142+J147+J152+J157+J162</f>
        <v>#VALUE!</v>
      </c>
      <c r="K170" s="122"/>
    </row>
    <row r="171" spans="1:12" x14ac:dyDescent="0.25">
      <c r="A171" s="122" t="s">
        <v>542</v>
      </c>
      <c r="B171" s="122" t="s">
        <v>390</v>
      </c>
      <c r="C171" s="122"/>
      <c r="D171" s="122"/>
      <c r="E171" s="122"/>
      <c r="F171" s="122"/>
      <c r="G171" s="122"/>
      <c r="H171" s="122"/>
      <c r="I171" s="122" t="s">
        <v>373</v>
      </c>
      <c r="J171" s="284" t="e">
        <f t="shared" si="13"/>
        <v>#VALUE!</v>
      </c>
      <c r="K171" s="122"/>
    </row>
    <row r="172" spans="1:12" x14ac:dyDescent="0.25">
      <c r="A172" s="122" t="s">
        <v>542</v>
      </c>
      <c r="B172" s="122" t="s">
        <v>390</v>
      </c>
      <c r="C172" s="122"/>
      <c r="D172" s="122"/>
      <c r="E172" s="122"/>
      <c r="F172" s="122"/>
      <c r="G172" s="122"/>
      <c r="H172" s="122"/>
      <c r="I172" s="122" t="s">
        <v>375</v>
      </c>
      <c r="J172" s="284" t="e">
        <f t="shared" si="13"/>
        <v>#VALUE!</v>
      </c>
      <c r="K172" s="122"/>
    </row>
    <row r="173" spans="1:12" x14ac:dyDescent="0.25">
      <c r="A173" s="122" t="s">
        <v>542</v>
      </c>
      <c r="B173" s="122" t="s">
        <v>390</v>
      </c>
      <c r="C173" s="122"/>
      <c r="D173" s="122"/>
      <c r="E173" s="122"/>
      <c r="F173" s="122"/>
      <c r="G173" s="122"/>
      <c r="H173" s="122"/>
      <c r="I173" s="122" t="s">
        <v>376</v>
      </c>
      <c r="J173" s="284" t="e">
        <f t="shared" si="13"/>
        <v>#VALUE!</v>
      </c>
      <c r="K173" s="122"/>
    </row>
    <row r="174" spans="1:12" x14ac:dyDescent="0.25">
      <c r="A174" s="147" t="s">
        <v>542</v>
      </c>
      <c r="B174" s="122" t="s">
        <v>390</v>
      </c>
      <c r="C174" s="122"/>
      <c r="D174" s="122"/>
      <c r="E174" s="122"/>
      <c r="F174" s="122"/>
      <c r="G174" s="122"/>
      <c r="H174" s="122"/>
      <c r="I174" s="122" t="s">
        <v>371</v>
      </c>
      <c r="J174" s="284" t="e">
        <f>SUM(J169:J173)</f>
        <v>#VALUE!</v>
      </c>
      <c r="K174" s="122"/>
    </row>
  </sheetData>
  <sheetProtection algorithmName="SHA-512" hashValue="Jy+Fho1DE+1OB4Aa62IC64ZDI5fpfiwsEz/BzjixiNk1ALLZwjQEHghb4SkpJMHXcl/SNNgdr42yWiejBcebkQ==" saltValue="65paPbwAwlhdLGAk8vtUDw==" spinCount="100000" sheet="1" objects="1" scenarios="1" selectLockedCells="1"/>
  <mergeCells count="135">
    <mergeCell ref="B151:B155"/>
    <mergeCell ref="C151:C155"/>
    <mergeCell ref="D151:D155"/>
    <mergeCell ref="E151:E155"/>
    <mergeCell ref="F151:F155"/>
    <mergeCell ref="G151:G155"/>
    <mergeCell ref="K151:K155"/>
    <mergeCell ref="G156:G160"/>
    <mergeCell ref="K156:K160"/>
    <mergeCell ref="B161:B165"/>
    <mergeCell ref="C161:C165"/>
    <mergeCell ref="D161:D165"/>
    <mergeCell ref="E161:E165"/>
    <mergeCell ref="F161:F165"/>
    <mergeCell ref="G161:G165"/>
    <mergeCell ref="K161:K165"/>
    <mergeCell ref="B156:B160"/>
    <mergeCell ref="C156:C160"/>
    <mergeCell ref="D156:D160"/>
    <mergeCell ref="E156:E160"/>
    <mergeCell ref="F156:F160"/>
    <mergeCell ref="B146:B150"/>
    <mergeCell ref="C146:C150"/>
    <mergeCell ref="D146:D150"/>
    <mergeCell ref="E146:E150"/>
    <mergeCell ref="F146:F150"/>
    <mergeCell ref="G136:G140"/>
    <mergeCell ref="K136:K140"/>
    <mergeCell ref="B141:B145"/>
    <mergeCell ref="C141:C145"/>
    <mergeCell ref="D141:D145"/>
    <mergeCell ref="E141:E145"/>
    <mergeCell ref="F141:F145"/>
    <mergeCell ref="G141:G145"/>
    <mergeCell ref="K141:K145"/>
    <mergeCell ref="B136:B140"/>
    <mergeCell ref="C136:C140"/>
    <mergeCell ref="D136:D140"/>
    <mergeCell ref="E136:E140"/>
    <mergeCell ref="F136:F140"/>
    <mergeCell ref="G146:G150"/>
    <mergeCell ref="K146:K150"/>
    <mergeCell ref="G126:G130"/>
    <mergeCell ref="K126:K130"/>
    <mergeCell ref="B131:B135"/>
    <mergeCell ref="C131:C135"/>
    <mergeCell ref="D131:D135"/>
    <mergeCell ref="E131:E135"/>
    <mergeCell ref="F131:F135"/>
    <mergeCell ref="G131:G135"/>
    <mergeCell ref="K131:K135"/>
    <mergeCell ref="B126:B130"/>
    <mergeCell ref="C126:C130"/>
    <mergeCell ref="D126:D130"/>
    <mergeCell ref="E126:E130"/>
    <mergeCell ref="F126:F130"/>
    <mergeCell ref="G116:G120"/>
    <mergeCell ref="K116:K120"/>
    <mergeCell ref="B121:B125"/>
    <mergeCell ref="C121:C125"/>
    <mergeCell ref="D121:D125"/>
    <mergeCell ref="E121:E125"/>
    <mergeCell ref="F121:F125"/>
    <mergeCell ref="G121:G125"/>
    <mergeCell ref="K121:K125"/>
    <mergeCell ref="B116:B120"/>
    <mergeCell ref="C116:C120"/>
    <mergeCell ref="D116:D120"/>
    <mergeCell ref="E116:E120"/>
    <mergeCell ref="F116:F120"/>
    <mergeCell ref="G106:G110"/>
    <mergeCell ref="K106:K110"/>
    <mergeCell ref="B111:B115"/>
    <mergeCell ref="C111:C115"/>
    <mergeCell ref="D111:D115"/>
    <mergeCell ref="E111:E115"/>
    <mergeCell ref="F111:F115"/>
    <mergeCell ref="G111:G115"/>
    <mergeCell ref="K111:K115"/>
    <mergeCell ref="B106:B110"/>
    <mergeCell ref="C106:C110"/>
    <mergeCell ref="D106:D110"/>
    <mergeCell ref="E106:E110"/>
    <mergeCell ref="F106:F110"/>
    <mergeCell ref="G96:G100"/>
    <mergeCell ref="K96:K100"/>
    <mergeCell ref="B101:B105"/>
    <mergeCell ref="C101:C105"/>
    <mergeCell ref="D101:D105"/>
    <mergeCell ref="E101:E105"/>
    <mergeCell ref="F101:F105"/>
    <mergeCell ref="G101:G105"/>
    <mergeCell ref="K101:K105"/>
    <mergeCell ref="B96:B100"/>
    <mergeCell ref="C96:C100"/>
    <mergeCell ref="D96:D100"/>
    <mergeCell ref="E96:E100"/>
    <mergeCell ref="F96:F100"/>
    <mergeCell ref="G86:G90"/>
    <mergeCell ref="K86:K90"/>
    <mergeCell ref="B91:B95"/>
    <mergeCell ref="C91:C95"/>
    <mergeCell ref="D91:D95"/>
    <mergeCell ref="E91:E95"/>
    <mergeCell ref="F91:F95"/>
    <mergeCell ref="G91:G95"/>
    <mergeCell ref="K91:K95"/>
    <mergeCell ref="B86:B90"/>
    <mergeCell ref="C86:C90"/>
    <mergeCell ref="D86:D90"/>
    <mergeCell ref="E86:E90"/>
    <mergeCell ref="F86:F90"/>
    <mergeCell ref="B81:B85"/>
    <mergeCell ref="C81:C85"/>
    <mergeCell ref="D81:D85"/>
    <mergeCell ref="E81:E85"/>
    <mergeCell ref="F81:F85"/>
    <mergeCell ref="G81:G85"/>
    <mergeCell ref="K81:K85"/>
    <mergeCell ref="B76:B80"/>
    <mergeCell ref="C76:C80"/>
    <mergeCell ref="D76:D80"/>
    <mergeCell ref="E76:E80"/>
    <mergeCell ref="F76:F80"/>
    <mergeCell ref="B2:K2"/>
    <mergeCell ref="B8:G8"/>
    <mergeCell ref="C12:F12"/>
    <mergeCell ref="C13:F13"/>
    <mergeCell ref="C14:F14"/>
    <mergeCell ref="C15:F15"/>
    <mergeCell ref="C16:F16"/>
    <mergeCell ref="C17:F17"/>
    <mergeCell ref="G76:G80"/>
    <mergeCell ref="K76:K80"/>
    <mergeCell ref="D20:G20"/>
  </mergeCells>
  <conditionalFormatting sqref="G18">
    <cfRule type="expression" dxfId="40" priority="14">
      <formula>$H$37&lt;0</formula>
    </cfRule>
  </conditionalFormatting>
  <conditionalFormatting sqref="H29 H31 H33 H35">
    <cfRule type="expression" dxfId="39" priority="15">
      <formula>$H$37&lt;0</formula>
    </cfRule>
    <cfRule type="expression" dxfId="38" priority="16">
      <formula>$H$37&gt;0</formula>
    </cfRule>
  </conditionalFormatting>
  <conditionalFormatting sqref="J64 N64 J29:N63">
    <cfRule type="expression" dxfId="37" priority="13">
      <formula>"""ok"""</formula>
    </cfRule>
  </conditionalFormatting>
  <conditionalFormatting sqref="H41 H43 H45">
    <cfRule type="expression" dxfId="36" priority="11">
      <formula>$H$37&lt;0</formula>
    </cfRule>
    <cfRule type="expression" dxfId="35" priority="12">
      <formula>$H$37&gt;0</formula>
    </cfRule>
  </conditionalFormatting>
  <conditionalFormatting sqref="H49 H51 H53 H55">
    <cfRule type="expression" dxfId="34" priority="9">
      <formula>$H$37&lt;0</formula>
    </cfRule>
    <cfRule type="expression" dxfId="33" priority="10">
      <formula>$H$37&gt;0</formula>
    </cfRule>
  </conditionalFormatting>
  <conditionalFormatting sqref="H59 H61 H63">
    <cfRule type="expression" dxfId="32" priority="7">
      <formula>$H$37&lt;0</formula>
    </cfRule>
    <cfRule type="expression" dxfId="31" priority="8">
      <formula>$H$37&gt;0</formula>
    </cfRule>
  </conditionalFormatting>
  <conditionalFormatting sqref="H47">
    <cfRule type="expression" dxfId="30" priority="5">
      <formula>$H$37&lt;0</formula>
    </cfRule>
    <cfRule type="expression" dxfId="29" priority="6">
      <formula>$H$37&gt;0</formula>
    </cfRule>
  </conditionalFormatting>
  <conditionalFormatting sqref="H57">
    <cfRule type="expression" dxfId="28" priority="3">
      <formula>$H$37&lt;0</formula>
    </cfRule>
    <cfRule type="expression" dxfId="27" priority="4">
      <formula>$H$37&gt;0</formula>
    </cfRule>
  </conditionalFormatting>
  <conditionalFormatting sqref="H37">
    <cfRule type="expression" dxfId="26" priority="1">
      <formula>$H$37&lt;0</formula>
    </cfRule>
    <cfRule type="expression" dxfId="25" priority="2">
      <formula>$H$37&gt;0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portrait" r:id="rId1"/>
  <ignoredErrors>
    <ignoredError sqref="C30:C40 C41:C53" formula="1"/>
    <ignoredError sqref="J76:J174" evalError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C505-8EA2-4210-AB98-AEA93A857587}">
  <sheetPr codeName="Hoja14">
    <pageSetUpPr fitToPage="1"/>
  </sheetPr>
  <dimension ref="A1:W174"/>
  <sheetViews>
    <sheetView showGridLines="0" zoomScaleNormal="100" workbookViewId="0">
      <pane ySplit="8" topLeftCell="A9" activePane="bottomLeft" state="frozen"/>
      <selection activeCell="A3" sqref="A3:I67"/>
      <selection pane="bottomLeft" activeCell="D20" sqref="D20:G20"/>
    </sheetView>
  </sheetViews>
  <sheetFormatPr baseColWidth="10" defaultRowHeight="15" x14ac:dyDescent="0.25"/>
  <cols>
    <col min="1" max="1" width="2.7109375" style="2" customWidth="1"/>
    <col min="2" max="2" width="8.28515625" style="2" customWidth="1"/>
    <col min="3" max="3" width="21.7109375" style="2" customWidth="1"/>
    <col min="4" max="4" width="12.7109375" style="2" customWidth="1"/>
    <col min="5" max="5" width="20.140625" style="2" customWidth="1"/>
    <col min="6" max="6" width="11.42578125" style="2"/>
    <col min="7" max="7" width="14.7109375" style="2" customWidth="1"/>
    <col min="8" max="8" width="15.7109375" style="2" customWidth="1"/>
    <col min="9" max="9" width="18.7109375" style="2" customWidth="1"/>
    <col min="10" max="10" width="11.42578125" style="2"/>
    <col min="11" max="11" width="14.7109375" style="2" customWidth="1"/>
    <col min="12" max="12" width="1.7109375" style="2" customWidth="1"/>
    <col min="13" max="13" width="17.7109375" style="2" customWidth="1"/>
    <col min="14" max="14" width="22.7109375" style="2" customWidth="1"/>
    <col min="15" max="16384" width="11.42578125" style="2"/>
  </cols>
  <sheetData>
    <row r="1" spans="1:11" x14ac:dyDescent="0.25">
      <c r="A1" s="147" t="s">
        <v>544</v>
      </c>
    </row>
    <row r="2" spans="1:11" s="1" customFormat="1" ht="75" customHeight="1" x14ac:dyDescent="0.15">
      <c r="A2" s="147" t="s">
        <v>544</v>
      </c>
      <c r="B2" s="292" t="s">
        <v>531</v>
      </c>
      <c r="C2" s="292"/>
      <c r="D2" s="292"/>
      <c r="E2" s="292"/>
      <c r="F2" s="292"/>
      <c r="G2" s="292"/>
      <c r="H2" s="292"/>
      <c r="I2" s="292"/>
      <c r="J2" s="292"/>
      <c r="K2" s="292"/>
    </row>
    <row r="3" spans="1:11" x14ac:dyDescent="0.25">
      <c r="A3" s="147" t="s">
        <v>544</v>
      </c>
    </row>
    <row r="4" spans="1:11" x14ac:dyDescent="0.25">
      <c r="A4" s="147" t="s">
        <v>544</v>
      </c>
    </row>
    <row r="5" spans="1:11" x14ac:dyDescent="0.25">
      <c r="A5" s="147" t="s">
        <v>544</v>
      </c>
      <c r="F5" s="3"/>
      <c r="G5" s="3"/>
      <c r="H5" s="13" t="s">
        <v>385</v>
      </c>
      <c r="I5" s="4"/>
    </row>
    <row r="6" spans="1:11" x14ac:dyDescent="0.25">
      <c r="A6" s="147" t="s">
        <v>544</v>
      </c>
      <c r="F6" s="3"/>
      <c r="G6" s="3"/>
      <c r="H6" s="13" t="s">
        <v>386</v>
      </c>
      <c r="I6" s="4"/>
    </row>
    <row r="7" spans="1:11" x14ac:dyDescent="0.25">
      <c r="A7" s="147" t="s">
        <v>544</v>
      </c>
      <c r="F7" s="3"/>
      <c r="G7" s="3"/>
      <c r="H7" s="13" t="s">
        <v>18</v>
      </c>
      <c r="I7" s="4"/>
    </row>
    <row r="8" spans="1:11" ht="18.75" x14ac:dyDescent="0.3">
      <c r="A8" s="147" t="s">
        <v>544</v>
      </c>
      <c r="B8" s="293" t="s">
        <v>377</v>
      </c>
      <c r="C8" s="293"/>
      <c r="D8" s="293"/>
      <c r="E8" s="293"/>
      <c r="F8" s="293"/>
      <c r="G8" s="293"/>
      <c r="H8" s="102"/>
      <c r="I8" s="102"/>
      <c r="J8" s="102"/>
      <c r="K8" s="102"/>
    </row>
    <row r="9" spans="1:11" ht="30" customHeight="1" x14ac:dyDescent="0.25">
      <c r="A9" s="147" t="s">
        <v>544</v>
      </c>
      <c r="B9" s="226" t="s">
        <v>514</v>
      </c>
    </row>
    <row r="10" spans="1:11" x14ac:dyDescent="0.25">
      <c r="A10" s="147" t="s">
        <v>544</v>
      </c>
      <c r="B10" s="3" t="s">
        <v>56</v>
      </c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147" t="s">
        <v>544</v>
      </c>
      <c r="B11" s="14" t="str">
        <f>CONCATENATE("Lote ",RIGHT(B8,2)," : ",VLOOKUP(_xlfn.NUMBERVALUE(RIGHT(B8,1)),'RESUMEN LOTES'!B:C,2,FALSE))</f>
        <v>Lote  9 : Comunidad Autónoma de Canarias.</v>
      </c>
      <c r="C11" s="14"/>
      <c r="D11" s="1"/>
      <c r="E11" s="1"/>
      <c r="F11" s="1"/>
      <c r="G11" s="1"/>
      <c r="H11" s="1"/>
      <c r="I11" s="10"/>
      <c r="J11" s="1"/>
      <c r="K11" s="1"/>
    </row>
    <row r="12" spans="1:11" x14ac:dyDescent="0.25">
      <c r="A12" s="147" t="str">
        <f>+'Anx I pg 1 oferta'!$B$18&amp;"T1_L09_cab"</f>
        <v>T1_L09_cab</v>
      </c>
      <c r="B12" s="16" t="s">
        <v>19</v>
      </c>
      <c r="C12" s="334" t="s">
        <v>29</v>
      </c>
      <c r="D12" s="334"/>
      <c r="E12" s="334"/>
      <c r="F12" s="334"/>
      <c r="G12" s="17" t="s">
        <v>17</v>
      </c>
      <c r="H12" s="17" t="s">
        <v>28</v>
      </c>
    </row>
    <row r="13" spans="1:11" ht="39.950000000000003" customHeight="1" x14ac:dyDescent="0.25">
      <c r="A13" s="147" t="str">
        <f>+'Anx I pg 1 oferta'!$B$18&amp;"T1_L09_DAB1"</f>
        <v>T1_L09_DAB1</v>
      </c>
      <c r="B13" s="22" t="s">
        <v>20</v>
      </c>
      <c r="C13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decimales",IF(VLOOKUP(9,'RESUMEN LOTES'!B7:E15,4,FALSE)&lt;G18,"Importe ofertado supera max. € "&amp;VLOOKUP(9,'RESUMEN LOTES'!B7:E15,4,FALSE),IF(COUNTIFS($M$29:$M$64,"ok")&lt;&gt;5,"Debe revisar Desglose 2 IMPORTE ofertado POR SEDE","Recopilación de información y toma de datos"))))),"TOTAL OFERTA LOTE incorrecto, no es un dato numérico")</f>
        <v>Lote NO ofertado, introduzca TOTAL OFERTA LOTE</v>
      </c>
      <c r="D13" s="318"/>
      <c r="E13" s="318"/>
      <c r="F13" s="318"/>
      <c r="G13" s="18" t="str">
        <f>+IF(OR($G$18=0,LEN($G$18)=0),"¿?",IF(COUNTIFS($M$29:$M$64,"ok")&lt;&gt;5,"¿?",+IF(C13="Debe revisar Desglose 2 IMPORTE ofertado POR SEDE","¿?",+SUMIFS($J$76:$J$165,$H$76:$H$165,C13))))</f>
        <v>¿?</v>
      </c>
      <c r="H13" s="23">
        <v>0.15</v>
      </c>
    </row>
    <row r="14" spans="1:11" ht="20.100000000000001" customHeight="1" x14ac:dyDescent="0.25">
      <c r="A14" s="147" t="str">
        <f>+'Anx I pg 1 oferta'!$B$18&amp;"T1_L09_DAB2"</f>
        <v>T1_L09_DAB2</v>
      </c>
      <c r="B14" s="22" t="s">
        <v>21</v>
      </c>
      <c r="C14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decimales",IF(VLOOKUP(9,'RESUMEN LOTES'!B7:E15,4,FALSE)&lt;G18,"Importe ofertado supera max. € "&amp;VLOOKUP(9,'RESUMEN LOTES'!B7:E15,4,FALSE),IF(COUNTIFS($M$29:$M$64,"ok")&lt;&gt;5,"Debe revisar Desglose 2 IMPORTE ofertado POR SEDE","Análisis y evaluación, determinación del balance de energía"))))),"TOTAL OFERTA LOTE incorrecto, no es un dato numérico")</f>
        <v>Lote NO ofertado, introduzca TOTAL OFERTA LOTE</v>
      </c>
      <c r="D14" s="318"/>
      <c r="E14" s="318"/>
      <c r="F14" s="318"/>
      <c r="G14" s="18" t="str">
        <f>+IF(OR($G$18=0,LEN($G$18)=0),"¿?",IF(COUNTIFS($M$29:$M$64,"ok")&lt;&gt;5,"¿?",+IF(C14="Debe revisar Desglose 2 IMPORTE ofertado POR SEDE","¿?",+SUMIFS($J$76:$J$165,$H$76:$H$165,C14))))</f>
        <v>¿?</v>
      </c>
      <c r="H14" s="23">
        <v>0.1</v>
      </c>
      <c r="I14" s="11"/>
    </row>
    <row r="15" spans="1:11" ht="20.100000000000001" customHeight="1" x14ac:dyDescent="0.25">
      <c r="A15" s="147" t="str">
        <f>+'Anx I pg 1 oferta'!$B$18&amp;"T1_L09_DAB3"</f>
        <v>T1_L09_DAB3</v>
      </c>
      <c r="B15" s="22" t="s">
        <v>22</v>
      </c>
      <c r="C15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decimales",IF(VLOOKUP(9,'RESUMEN LOTES'!B7:E15,4,FALSE)&lt;G18,"Importe ofertado supera max. € "&amp;VLOOKUP(9,'RESUMEN LOTES'!B7:E15,4,FALSE),IF(COUNTIFS($M$29:$M$64,"ok")&lt;&gt;5,"Debe revisar Desglose 2 IMPORTE ofertado POR SEDE","Redacción del Informe Final"))))),"TOTAL OFERTA LOTE incorrecto, no es un dato numérico")</f>
        <v>Lote NO ofertado, introduzca TOTAL OFERTA LOTE</v>
      </c>
      <c r="D15" s="318"/>
      <c r="E15" s="318"/>
      <c r="F15" s="318"/>
      <c r="G15" s="18" t="str">
        <f>+IF(OR($G$18=0,LEN($G$18)=0),"¿?",IF(COUNTIFS($M$29:$M$64,"ok")&lt;&gt;5,"¿?",+IF(C15="Debe revisar Desglose 2 IMPORTE ofertado POR SEDE","¿?",+SUMIFS($J$76:$J$165,$H$76:$H$165,C15))))</f>
        <v>¿?</v>
      </c>
      <c r="H15" s="23">
        <v>0.2</v>
      </c>
      <c r="I15" s="11"/>
    </row>
    <row r="16" spans="1:11" ht="20.100000000000001" customHeight="1" x14ac:dyDescent="0.25">
      <c r="A16" s="147" t="str">
        <f>+'Anx I pg 1 oferta'!$B$18&amp;"T1_L09_DAB4"</f>
        <v>T1_L09_DAB4</v>
      </c>
      <c r="B16" s="22" t="s">
        <v>23</v>
      </c>
      <c r="C16" s="318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decimales",IF(VLOOKUP(9,'RESUMEN LOTES'!B7:E15,4,FALSE)&lt;G18,"Importe ofertado supera max. € "&amp;VLOOKUP(9,'RESUMEN LOTES'!B7:E15,4,FALSE),IF(COUNTIFS($M$29:$M$64,"ok")&lt;&gt;5,"Debe revisar Desglose 2 IMPORTE ofertado POR SEDE","Aportación de ficheros ofimáticos soporte del Informe Final"))))),"TOTAL OFERTA LOTE incorrecto, no es un dato numérico")</f>
        <v>Lote NO ofertado, introduzca TOTAL OFERTA LOTE</v>
      </c>
      <c r="D16" s="318"/>
      <c r="E16" s="318"/>
      <c r="F16" s="318"/>
      <c r="G16" s="18" t="str">
        <f>+IF(OR($G$18=0,LEN($G$18)=0),"¿?",IF(COUNTIFS($M$29:$M$64,"ok")&lt;&gt;5,"¿?",+IF(C16="Debe revisar Desglose 2 IMPORTE ofertado POR SEDE","¿?",+SUMIFS($J$76:$J$165,$H$76:$H$165,C16))))</f>
        <v>¿?</v>
      </c>
      <c r="H16" s="23">
        <v>0.05</v>
      </c>
      <c r="I16" s="11"/>
    </row>
    <row r="17" spans="1:23" ht="39.950000000000003" customHeight="1" x14ac:dyDescent="0.25">
      <c r="A17" s="147" t="str">
        <f>+'Anx I pg 1 oferta'!$B$18&amp;"T1_L09_DAB5"</f>
        <v>T1_L09_DAB5</v>
      </c>
      <c r="B17" s="22" t="s">
        <v>24</v>
      </c>
      <c r="C17" s="317" t="str">
        <f>+IFERROR(IF(OR($G$18=0,LEN($G$18)=0),"Lote NO ofertado, introduzca TOTAL OFERTA LOTE",IF(OR($G$18&lt;0,+$G$18/$G$18&lt;&gt;1),"Total oferta Lote incorrecto (no numérico o negativo)",IF($G$18&lt;&gt;TRUNC($G$18,2),"ERROR: TOTAL OFERTA LOTE más de 2 decimales",IF(VLOOKUP(9,'RESUMEN LOTES'!B7:E15,4,FALSE)&lt;G18,"Importe ofertado supera max. € "&amp;VLOOKUP(9,'RESUMEN LOTES'!B7:E15,4,FALSE),IF(COUNTIFS($M$29:$M$64,"ok")&lt;&gt;5,"Debe revisar Desglose 2 IMPORTE ofertado POR SEDE","Registro en la Comunidad Autónoma o en el Ministerio para la Transición Ecológica del Informe Final"))))),"TOTAL OFERTA LOTE incorrecto, no es un dato numérico")</f>
        <v>Lote NO ofertado, introduzca TOTAL OFERTA LOTE</v>
      </c>
      <c r="D17" s="318"/>
      <c r="E17" s="318"/>
      <c r="F17" s="318"/>
      <c r="G17" s="18" t="str">
        <f>+IF(OR($G$18=0,LEN($G$18)=0),"¿?",IF(COUNTIFS($M$29:$M$64,"ok")&lt;&gt;5,"¿?",+IF(C17="Debe revisar Desglose 2 IMPORTE ofertado POR SEDE","¿?",+SUMIFS($J$76:$J$165,$H$76:$H$165,"Registro en la Comunidad Autónoma o en el MITECO del Informe Final"))))</f>
        <v>¿?</v>
      </c>
      <c r="H17" s="23">
        <v>0.5</v>
      </c>
      <c r="I17" s="11"/>
      <c r="M17" s="122" t="s">
        <v>370</v>
      </c>
      <c r="N17" s="122"/>
      <c r="O17" s="122"/>
    </row>
    <row r="18" spans="1:23" ht="20.100000000000001" customHeight="1" x14ac:dyDescent="0.25">
      <c r="A18" s="147" t="str">
        <f>+'Anx I pg 1 oferta'!$B$18&amp;"T1_L09_TOT"</f>
        <v>T1_L09_TOT</v>
      </c>
      <c r="B18" s="19"/>
      <c r="C18" s="20"/>
      <c r="D18" s="20"/>
      <c r="E18" s="20"/>
      <c r="F18" s="21" t="s">
        <v>58</v>
      </c>
      <c r="G18" s="24">
        <v>0</v>
      </c>
      <c r="I18" s="11"/>
      <c r="M18" s="284"/>
      <c r="N18" s="284">
        <f>+SUM(G13:G17)</f>
        <v>0</v>
      </c>
      <c r="O18" s="122"/>
    </row>
    <row r="19" spans="1:23" x14ac:dyDescent="0.25">
      <c r="A19" s="147" t="s">
        <v>544</v>
      </c>
      <c r="M19" s="122"/>
      <c r="N19" s="122"/>
      <c r="O19" s="122"/>
    </row>
    <row r="20" spans="1:23" x14ac:dyDescent="0.25">
      <c r="A20" s="147" t="s">
        <v>544</v>
      </c>
      <c r="C20" s="12" t="s">
        <v>12</v>
      </c>
      <c r="D20" s="335"/>
      <c r="E20" s="335"/>
      <c r="F20" s="335"/>
      <c r="G20" s="335"/>
    </row>
    <row r="21" spans="1:23" x14ac:dyDescent="0.25">
      <c r="A21" s="147" t="s">
        <v>544</v>
      </c>
    </row>
    <row r="22" spans="1:23" ht="30" customHeight="1" x14ac:dyDescent="0.25">
      <c r="A22" s="147" t="s">
        <v>544</v>
      </c>
      <c r="B22" s="226" t="s">
        <v>515</v>
      </c>
    </row>
    <row r="23" spans="1:23" x14ac:dyDescent="0.25">
      <c r="A23" s="147" t="s">
        <v>544</v>
      </c>
    </row>
    <row r="24" spans="1:23" x14ac:dyDescent="0.25">
      <c r="A24" s="147" t="s">
        <v>544</v>
      </c>
      <c r="B24" s="2" t="s">
        <v>534</v>
      </c>
    </row>
    <row r="25" spans="1:23" ht="15.75" thickBot="1" x14ac:dyDescent="0.3">
      <c r="A25" s="147" t="s">
        <v>544</v>
      </c>
      <c r="J25" s="122">
        <f>+COUNTIFS(M29:M37,"ok")</f>
        <v>0</v>
      </c>
    </row>
    <row r="26" spans="1:23" ht="30" customHeight="1" thickBot="1" x14ac:dyDescent="0.3">
      <c r="A26" s="147" t="str">
        <f>+'Anx I pg 1 oferta'!$B$18&amp;"T2_L09_cab0a"</f>
        <v>T2_L09_cab0a</v>
      </c>
      <c r="B26" s="156" t="s">
        <v>59</v>
      </c>
      <c r="C26" s="157" t="s">
        <v>359</v>
      </c>
      <c r="D26" s="158"/>
      <c r="E26" s="159" t="s">
        <v>60</v>
      </c>
      <c r="F26" s="160" t="s">
        <v>378</v>
      </c>
      <c r="G26" s="270" t="s">
        <v>532</v>
      </c>
      <c r="H26" s="272" t="s">
        <v>490</v>
      </c>
      <c r="I26" s="161" t="s">
        <v>503</v>
      </c>
      <c r="J26" s="162"/>
      <c r="M26" s="161" t="s">
        <v>387</v>
      </c>
    </row>
    <row r="27" spans="1:23" ht="15.75" thickBot="1" x14ac:dyDescent="0.3">
      <c r="A27" s="147" t="str">
        <f>+'Anx I pg 1 oferta'!$B$18&amp;"T2_L09_cab0b"</f>
        <v>T2_L09_cab0b</v>
      </c>
      <c r="B27" s="163" t="s">
        <v>339</v>
      </c>
      <c r="C27" s="164" t="s">
        <v>502</v>
      </c>
      <c r="D27" s="165"/>
      <c r="E27" s="166"/>
      <c r="F27" s="167">
        <v>1</v>
      </c>
      <c r="G27" s="165"/>
      <c r="H27" s="168"/>
      <c r="I27" s="169"/>
      <c r="J27" s="162"/>
    </row>
    <row r="28" spans="1:23" ht="15.75" thickBot="1" x14ac:dyDescent="0.3">
      <c r="A28" s="147" t="str">
        <f>+'Anx I pg 1 oferta'!$B$18&amp;"T2_L09_cab1(CA)"</f>
        <v>T2_L09_cab1(CA)</v>
      </c>
      <c r="B28" s="170" t="s">
        <v>390</v>
      </c>
      <c r="C28" s="171" t="s">
        <v>340</v>
      </c>
      <c r="D28" s="172"/>
      <c r="E28" s="172"/>
      <c r="F28" s="173"/>
      <c r="G28" s="173"/>
      <c r="H28" s="174"/>
      <c r="I28" s="175">
        <f>+G18</f>
        <v>0</v>
      </c>
      <c r="J28" s="162"/>
    </row>
    <row r="29" spans="1:23" ht="30" customHeight="1" thickBot="1" x14ac:dyDescent="0.3">
      <c r="A29" s="147" t="str">
        <f>+'Anx I pg 1 oferta'!$B$18&amp;"T2_L09_inst_"&amp;B29</f>
        <v>T2_L09_inst_L09-01</v>
      </c>
      <c r="B29" s="176" t="s">
        <v>341</v>
      </c>
      <c r="C29" s="177" t="str">
        <f>+VLOOKUP(B29,'DATOS CENTROS'!B:F,4,FALSE)</f>
        <v>C.E. OM LAS MESAS DE GALAZ</v>
      </c>
      <c r="D29" s="178"/>
      <c r="E29" s="179" t="str">
        <f>+VLOOKUP(B29,'DATOS CENTROS'!B:F,3,FALSE)</f>
        <v xml:space="preserve"> A + C</v>
      </c>
      <c r="F29" s="180">
        <f>+VLOOKUP(B29,'DATOS CENTROS'!B:F,5,FALSE)</f>
        <v>0.214</v>
      </c>
      <c r="G29" s="181" t="str">
        <f>+IF(OR($G$18=0,LEN($G$18)=0),"",+ROUND(((H29)/$G$18),6))</f>
        <v/>
      </c>
      <c r="H29" s="217"/>
      <c r="J29" s="183"/>
      <c r="K29" s="183"/>
      <c r="L29" s="183"/>
      <c r="M29" s="184" t="str">
        <f>+IFERROR(IF(N29&lt;&gt;TRUNC(N29,2),"ERROR + de 2 decim.",+IF(+COUNTA($H$29:$H$64)&lt;5,5-COUNTA($H$29:$H$64)&amp;" Items ptes.ofertar",IF(AND($G$18&gt;0,$H$31&gt;0,(N29)/(N29)=1),"ok","mal"))),"¿max.min.ofertado?")</f>
        <v>¿max.min.ofertado?</v>
      </c>
      <c r="N29" s="183" t="str">
        <f>+IF(OR($G$18=0,LEN($G$18)=0),"",IF(OR($G$18&lt;0,+$G$18/$G$18&lt;&gt;1),"Total oferta Lote incorrecto (no numérico o negativo)",IF(AND($G$18&gt;0,$H$31&gt;0,H29&lt;=0),"¿importe ofertado?",IF(AND($G$18&gt;0,$H$31&lt;0),"acum.of.oferta sede &gt;oferta lote",IF(AND($G$18&gt;0,$H$31&lt;&gt;0,H29&lt;VLOOKUP(B29,'% admitidos'!A:M,11,FALSE)),+"min."&amp;VLOOKUP(B29,'% admitidos'!A:M,11,FALSE),IF(AND($G$18&gt;0,$H$31&gt;0,H29&gt;VLOOKUP(B29,'% admitidos'!A:M,13,FALSE)),+"max."&amp;VLOOKUP(B29,'% admitidos'!A:M,13,FALSE),+H29))))))</f>
        <v/>
      </c>
      <c r="Q29" s="101"/>
      <c r="R29" s="101"/>
      <c r="S29" s="101"/>
      <c r="T29" s="101"/>
      <c r="U29" s="101"/>
      <c r="V29" s="101"/>
      <c r="W29" s="101"/>
    </row>
    <row r="30" spans="1:23" ht="15.75" thickBot="1" x14ac:dyDescent="0.3">
      <c r="A30" s="147" t="s">
        <v>542</v>
      </c>
      <c r="B30" s="236" t="s">
        <v>390</v>
      </c>
      <c r="C30" s="60" t="str">
        <f>+IF(LEN('Anx I pg 1 oferta'!$C$56)&gt;0,"","min. "&amp;VLOOKUP(B29,'% admitidos'!A:M,11,FALSE)&amp;" - med.  "&amp;VLOOKUP(B29,'% admitidos'!A:M,12,FALSE)&amp;" - max.  "&amp;VLOOKUP(B29,'% admitidos'!A:M,13,FALSE))</f>
        <v>min. 0 - med.  0 - max.  0</v>
      </c>
      <c r="D30" s="61"/>
      <c r="E30" s="61"/>
      <c r="F30" s="67"/>
      <c r="G30" s="68"/>
      <c r="H30" s="123"/>
      <c r="J30" s="126"/>
      <c r="K30" s="126"/>
      <c r="L30" s="126"/>
      <c r="M30" s="87"/>
      <c r="N30" s="126"/>
    </row>
    <row r="31" spans="1:23" ht="30" customHeight="1" thickBot="1" x14ac:dyDescent="0.3">
      <c r="A31" s="147" t="str">
        <f>+'Anx I pg 1 oferta'!$B$18&amp;"T2_L09_inst_"&amp;B31</f>
        <v>T2_L09_inst_L09-02</v>
      </c>
      <c r="B31" s="176" t="s">
        <v>343</v>
      </c>
      <c r="C31" s="177" t="str">
        <f>+VLOOKUP(B31,'DATOS CENTROS'!B:F,4,FALSE)</f>
        <v>C.P. RTVE Canarias</v>
      </c>
      <c r="D31" s="178"/>
      <c r="E31" s="179" t="str">
        <f>+VLOOKUP(B31,'DATOS CENTROS'!B:F,3,FALSE)</f>
        <v xml:space="preserve"> A + C</v>
      </c>
      <c r="F31" s="180">
        <f>+VLOOKUP(B31,'DATOS CENTROS'!B:F,5,FALSE)</f>
        <v>0.42699999999999999</v>
      </c>
      <c r="G31" s="195" t="str">
        <f>+IF(OR($G$18=0,LEN($G$18)=0),"",1-SUM(G29:G30)-SUM(G33:G64))</f>
        <v/>
      </c>
      <c r="H31" s="197" t="str">
        <f>+IF(OR($G$18=0,+LEN($G$18)=0),"",+$G$18-SUM(H29:H30)-SUM(H33:H64))</f>
        <v/>
      </c>
      <c r="J31" s="183"/>
      <c r="K31" s="183"/>
      <c r="L31" s="183"/>
      <c r="M31" s="184" t="str">
        <f>+IFERROR(IF(COUNTA($H$29:$H$64)&lt;5,5-COUNTA($H$29:$H$64)&amp;" Items ptes.ofertar ",IF(AND($G$18&gt;0,$H$37&gt;0,(N31)/(N31)=1),"ok","mal")),"¿max.min.ofertado?")</f>
        <v xml:space="preserve">4 Items ptes.ofertar </v>
      </c>
      <c r="N31" s="183" t="str">
        <f>+IF(OR($G$18=0,LEN($G$18)=0),"",IF(OR($G$18&lt;0,+$G$18/$G$18&lt;&gt;1),"Total oferta Lote incorrecto (no numérico o negativo)",IF(AND($G$18&gt;0,$H$31&gt;0,H31&lt;=0),"¿importe ofertado?",IF(AND($G$18&gt;0,$H$31&lt;0),"acum.of.oferta sede &gt;oferta lote",IF(AND($G$18&gt;0,$H$31&lt;&gt;0,H31&lt;VLOOKUP(B31,'% admitidos'!A:M,13,FALSE)),+"MIN."&amp;VLOOKUP(B31,'% admitidos'!A:M,13,FALSE),IF(AND($G$18&gt;0,$H$31&gt;0,H31&gt;VLOOKUP(B31,'% admitidos'!A:M,11,FALSE)),+"MAX."&amp;VLOOKUP(B31,'% admitidos'!A:M,11,FALSE),+H31))))))</f>
        <v/>
      </c>
    </row>
    <row r="32" spans="1:23" ht="16.5" thickTop="1" thickBot="1" x14ac:dyDescent="0.3">
      <c r="A32" s="147" t="s">
        <v>542</v>
      </c>
      <c r="B32" s="237" t="s">
        <v>390</v>
      </c>
      <c r="C32" s="134" t="str">
        <f>+IF(LEN('Anx I pg 1 oferta'!$C$56)&gt;0,"","MAX. "&amp;VLOOKUP(B31,'% admitidos'!A:M,11,FALSE)&amp;" - med.  "&amp;VLOOKUP(B31,'% admitidos'!A:M,12,FALSE)&amp;" - MIN.  "&amp;VLOOKUP(B31,'% admitidos'!A:M,13,FALSE))</f>
        <v>MAX. 0 - med.  0 - MIN.  0</v>
      </c>
      <c r="D32" s="135"/>
      <c r="E32" s="135"/>
      <c r="F32" s="136"/>
      <c r="G32" s="137"/>
      <c r="H32" s="138"/>
      <c r="J32" s="126"/>
      <c r="K32" s="126"/>
      <c r="L32" s="126"/>
      <c r="M32" s="87"/>
      <c r="N32" s="126"/>
    </row>
    <row r="33" spans="1:23" ht="30" customHeight="1" thickBot="1" x14ac:dyDescent="0.3">
      <c r="A33" s="147" t="str">
        <f>+'Anx I pg 1 oferta'!$B$18&amp;"T2_L09_inst_"&amp;B33</f>
        <v>T2_L09_inst_L09-03</v>
      </c>
      <c r="B33" s="176" t="s">
        <v>345</v>
      </c>
      <c r="C33" s="177" t="str">
        <f>+VLOOKUP(B33,'DATOS CENTROS'!B:F,4,FALSE)</f>
        <v>C.T. TVE Tenerife</v>
      </c>
      <c r="D33" s="178"/>
      <c r="E33" s="179" t="str">
        <f>+VLOOKUP(B33,'DATOS CENTROS'!B:F,3,FALSE)</f>
        <v xml:space="preserve"> A + C</v>
      </c>
      <c r="F33" s="180">
        <f>+VLOOKUP(B33,'DATOS CENTROS'!B:F,5,FALSE)</f>
        <v>0.252</v>
      </c>
      <c r="G33" s="190" t="str">
        <f>+IF(OR($G$18=0,LEN($G$18)=0),"",+ROUND(((H33)/$G$18),6))</f>
        <v/>
      </c>
      <c r="H33" s="218"/>
      <c r="J33" s="183"/>
      <c r="K33" s="183"/>
      <c r="L33" s="183"/>
      <c r="M33" s="184" t="str">
        <f>+IFERROR(IF(N33&lt;&gt;TRUNC(N33,2),"ERROR + de 2 decim.",+IF(+COUNTA($H$29:$H$64)&lt;5,5-COUNTA($H$29:$H$64)&amp;" Items ptes.ofertar",IF(AND($G$18&gt;0,$H$31&gt;0,(N33)/(N33)=1),"ok","mal"))),"¿max.min.ofertado?")</f>
        <v>¿max.min.ofertado?</v>
      </c>
      <c r="N33" s="183" t="str">
        <f>+IF(OR($G$18=0,LEN($G$18)=0),"",IF(OR($G$18&lt;0,+$G$18/$G$18&lt;&gt;1),"Total oferta Lote incorrecto (no numérico o negativo)",IF(AND($G$18&gt;0,$H$31&gt;0,H33&lt;=0),"¿importe ofertado?",IF(AND($G$18&gt;0,$H$31&lt;0),"acum.of.oferta sede &gt;oferta lote",IF(AND($G$18&gt;0,$H$31&gt;0,H33&lt;VLOOKUP(B33,'% admitidos'!A:M,11,FALSE)),+"min."&amp;VLOOKUP(B33,'% admitidos'!A:M,11,FALSE),IF(AND($G$18&gt;0,$H$31&gt;0,H33&gt;VLOOKUP(B33,'% admitidos'!A:M,13,FALSE)),+"max."&amp;VLOOKUP(B33,'% admitidos'!A:M,13,FALSE),+H33))))))</f>
        <v/>
      </c>
    </row>
    <row r="34" spans="1:23" ht="16.5" thickTop="1" thickBot="1" x14ac:dyDescent="0.3">
      <c r="A34" s="147" t="s">
        <v>542</v>
      </c>
      <c r="B34" s="236" t="s">
        <v>390</v>
      </c>
      <c r="C34" s="60" t="str">
        <f>+IF(LEN('Anx I pg 1 oferta'!$C$56)&gt;0,"","min. "&amp;VLOOKUP(B33,'% admitidos'!A:M,11,FALSE)&amp;" - med.  "&amp;VLOOKUP(B33,'% admitidos'!A:M,12,FALSE)&amp;" - max.  "&amp;VLOOKUP(B33,'% admitidos'!A:M,13,FALSE))</f>
        <v>min. 0 - med.  0 - max.  0</v>
      </c>
      <c r="D34" s="61"/>
      <c r="E34" s="61"/>
      <c r="F34" s="67"/>
      <c r="G34" s="67"/>
      <c r="H34" s="123"/>
      <c r="J34" s="126"/>
      <c r="K34" s="126"/>
      <c r="L34" s="126"/>
      <c r="M34" s="87"/>
      <c r="N34" s="126"/>
    </row>
    <row r="35" spans="1:23" ht="30" customHeight="1" thickBot="1" x14ac:dyDescent="0.3">
      <c r="A35" s="147" t="str">
        <f>+'Anx I pg 1 oferta'!$B$18&amp;"T2_L09_inst_"&amp;B35</f>
        <v>T2_L09_inst_L09-04</v>
      </c>
      <c r="B35" s="186" t="s">
        <v>347</v>
      </c>
      <c r="C35" s="187" t="str">
        <f>+VLOOKUP(B35,'DATOS CENTROS'!B:F,4,FALSE)</f>
        <v>D.I. RTVE Santa Cruz de La Palma</v>
      </c>
      <c r="D35" s="188"/>
      <c r="E35" s="189" t="str">
        <f>+VLOOKUP(B35,'DATOS CENTROS'!B:F,3,FALSE)</f>
        <v>C</v>
      </c>
      <c r="F35" s="220">
        <f>+VLOOKUP(B35,'DATOS CENTROS'!B:F,5,FALSE)</f>
        <v>5.8000000000000003E-2</v>
      </c>
      <c r="G35" s="190" t="str">
        <f>+IF(OR($G$18=0,LEN($G$18)=0),"",+ROUND(((H35)/$G$18),6))</f>
        <v/>
      </c>
      <c r="H35" s="218"/>
      <c r="J35" s="183"/>
      <c r="K35" s="183"/>
      <c r="L35" s="183"/>
      <c r="M35" s="184" t="str">
        <f>+IFERROR(IF(N35&lt;&gt;TRUNC(N35,2),"ERROR + de 2 decim.",+IF(+COUNTA($H$29:$H$64)&lt;5,5-COUNTA($H$29:$H$64)&amp;" Items ptes.ofertar",IF(AND($G$18&gt;0,$H$31&gt;0,(N35)/(N35)=1),"ok","mal"))),"¿max.min.ofertado?")</f>
        <v>¿max.min.ofertado?</v>
      </c>
      <c r="N35" s="183" t="str">
        <f>+IF(OR($G$18=0,LEN($G$18)=0),"",IF(OR($G$18&lt;0,+$G$18/$G$18&lt;&gt;1),"Total oferta Lote incorrecto (no numérico o negativo)",IF(AND($G$18&gt;0,$H$31&gt;0,H35&lt;=0),"¿importe ofertado?",IF(AND($G$18&gt;0,$H$31&lt;0),"acum.of.oferta sede &gt;oferta lote",IF(AND($G$18&gt;0,$H$31&gt;0,H35&lt;VLOOKUP(B35,'% admitidos'!A:M,11,FALSE)),+"min."&amp;VLOOKUP(B35,'% admitidos'!A:M,11,FALSE),IF(AND($G$18&gt;0,$H$31&gt;0,H35&gt;VLOOKUP(B35,'% admitidos'!A:M,13,FALSE)),+"max."&amp;VLOOKUP(B35,'% admitidos'!A:M,13,FALSE),+H35))))))</f>
        <v/>
      </c>
    </row>
    <row r="36" spans="1:23" ht="16.5" thickTop="1" thickBot="1" x14ac:dyDescent="0.3">
      <c r="A36" s="147" t="s">
        <v>542</v>
      </c>
      <c r="B36" s="152" t="s">
        <v>390</v>
      </c>
      <c r="C36" s="53" t="str">
        <f>+IF(LEN('Anx I pg 1 oferta'!$C$56)&gt;0,"","min. "&amp;VLOOKUP(B35,'% admitidos'!A:M,11,FALSE)&amp;" - med.  "&amp;VLOOKUP(B35,'% admitidos'!A:M,12,FALSE)&amp;" - max.  "&amp;VLOOKUP(B35,'% admitidos'!A:M,13,FALSE))</f>
        <v>min. 0 - med.  0 - max.  0</v>
      </c>
      <c r="D36" s="54"/>
      <c r="E36" s="54"/>
      <c r="F36" s="69"/>
      <c r="G36" s="69"/>
      <c r="H36" s="71"/>
      <c r="J36" s="126"/>
      <c r="K36" s="126"/>
      <c r="L36" s="126"/>
      <c r="M36" s="87"/>
      <c r="N36" s="126"/>
    </row>
    <row r="37" spans="1:23" ht="30" customHeight="1" thickBot="1" x14ac:dyDescent="0.3">
      <c r="A37" s="147" t="str">
        <f>+'Anx I pg 1 oferta'!$B$18&amp;"T2_L09_inst_"&amp;B37</f>
        <v>T2_L09_inst_L09-05</v>
      </c>
      <c r="B37" s="176" t="s">
        <v>349</v>
      </c>
      <c r="C37" s="177" t="str">
        <f>+VLOOKUP(B37,'DATOS CENTROS'!B:F,4,FALSE)</f>
        <v>C.T. RNE Tenerife</v>
      </c>
      <c r="D37" s="178"/>
      <c r="E37" s="179" t="str">
        <f>+VLOOKUP(B37,'DATOS CENTROS'!B:F,3,FALSE)</f>
        <v>C</v>
      </c>
      <c r="F37" s="180">
        <f>+VLOOKUP(B37,'DATOS CENTROS'!B:F,5,FALSE)</f>
        <v>4.9000000000000002E-2</v>
      </c>
      <c r="G37" s="181" t="str">
        <f>+IF(OR($G$18=0,LEN($G$18)=0),"",+ROUND(((H37)/$G$18),6))</f>
        <v/>
      </c>
      <c r="H37" s="217"/>
      <c r="J37" s="183"/>
      <c r="K37" s="183"/>
      <c r="L37" s="183"/>
      <c r="M37" s="184" t="str">
        <f>+IFERROR(IF(N37&lt;&gt;TRUNC(N37,2),"ERROR + de 2 decim.",+IF(+COUNTA($H$29:$H$64)&lt;5,5-COUNTA($H$29:$H$64)&amp;" Items ptes.ofertar",IF(AND($G$18&gt;0,$H$31&gt;0,(N37)/(N37)=1),"ok","mal"))),"¿max.min.ofertado?")</f>
        <v>¿max.min.ofertado?</v>
      </c>
      <c r="N37" s="183" t="str">
        <f>+IF(OR($G$18=0,LEN($G$18)=0),"",IF(OR($G$18&lt;0,+$G$18/$G$18&lt;&gt;1),"Total oferta Lote incorrecto (no numérico o negativo)",IF(AND($G$18&gt;0,$H$31&gt;0,H37&lt;=0),"¿importe ofertado?",IF(AND($G$18&gt;0,$H$31&lt;0),"acum.of.oferta sede &gt;oferta lote",IF(AND($G$18&gt;0,$H$31&gt;0,H37&lt;VLOOKUP(B37,'% admitidos'!A:M,11,FALSE)),+"min."&amp;VLOOKUP(B37,'% admitidos'!A:M,11,FALSE),IF(AND($G$18&gt;0,$H$31&gt;0,H37&gt;VLOOKUP(B37,'% admitidos'!A:M,13,FALSE)),+"max."&amp;+ROUND(VLOOKUP(B37,'% admitidos'!A:M,13,FALSE),4),+H37))))))</f>
        <v/>
      </c>
    </row>
    <row r="38" spans="1:23" ht="16.5" thickTop="1" thickBot="1" x14ac:dyDescent="0.3">
      <c r="A38" s="147" t="s">
        <v>542</v>
      </c>
      <c r="B38" s="237" t="s">
        <v>390</v>
      </c>
      <c r="C38" s="134" t="str">
        <f>+IF(LEN('Anx I pg 1 oferta'!$C$56)&gt;0,"","min. "&amp;VLOOKUP(B37,'% admitidos'!A:M,11,FALSE)&amp;" - med.  "&amp;VLOOKUP(B37,'% admitidos'!A:M,12,FALSE)&amp;" - max.  "&amp;+ROUND(VLOOKUP(B37,'% admitidos'!A:M,13,FALSE),6))</f>
        <v>min. 0 - med.  0 - max.  0</v>
      </c>
      <c r="D38" s="135"/>
      <c r="E38" s="135"/>
      <c r="F38" s="135"/>
      <c r="G38" s="135"/>
      <c r="H38" s="144"/>
      <c r="J38" s="107"/>
      <c r="K38" s="107"/>
      <c r="L38" s="107"/>
      <c r="M38" s="56"/>
      <c r="N38" s="107"/>
    </row>
    <row r="39" spans="1:23" ht="30" hidden="1" customHeight="1" thickBot="1" x14ac:dyDescent="0.3">
      <c r="A39" s="147" t="s">
        <v>544</v>
      </c>
      <c r="B39" s="222" t="s">
        <v>390</v>
      </c>
      <c r="C39" s="177"/>
      <c r="D39" s="178"/>
      <c r="E39" s="179"/>
      <c r="F39" s="180"/>
      <c r="G39" s="195"/>
      <c r="H39" s="185"/>
      <c r="J39" s="183"/>
      <c r="K39" s="183"/>
      <c r="L39" s="183"/>
      <c r="M39" s="184"/>
      <c r="N39" s="183"/>
      <c r="Q39" s="101"/>
      <c r="R39" s="101"/>
      <c r="S39" s="101"/>
      <c r="T39" s="101"/>
      <c r="U39" s="101"/>
      <c r="V39" s="101"/>
      <c r="W39" s="101"/>
    </row>
    <row r="40" spans="1:23" ht="16.5" hidden="1" thickTop="1" thickBot="1" x14ac:dyDescent="0.3">
      <c r="A40" s="147" t="s">
        <v>544</v>
      </c>
      <c r="B40" s="237" t="s">
        <v>390</v>
      </c>
      <c r="C40" s="60"/>
      <c r="D40" s="61"/>
      <c r="E40" s="61"/>
      <c r="F40" s="67"/>
      <c r="G40" s="68"/>
      <c r="H40" s="124"/>
      <c r="J40" s="126"/>
      <c r="K40" s="126"/>
      <c r="L40" s="126"/>
      <c r="M40" s="87"/>
      <c r="N40" s="126"/>
    </row>
    <row r="41" spans="1:23" ht="30" hidden="1" customHeight="1" thickBot="1" x14ac:dyDescent="0.3">
      <c r="A41" s="147" t="s">
        <v>544</v>
      </c>
      <c r="B41" s="222" t="s">
        <v>390</v>
      </c>
      <c r="C41" s="177"/>
      <c r="D41" s="188"/>
      <c r="E41" s="189"/>
      <c r="F41" s="220"/>
      <c r="G41" s="190"/>
      <c r="H41" s="185"/>
      <c r="J41" s="183"/>
      <c r="K41" s="183"/>
      <c r="L41" s="183"/>
      <c r="M41" s="184"/>
      <c r="N41" s="183"/>
    </row>
    <row r="42" spans="1:23" ht="16.5" hidden="1" thickTop="1" thickBot="1" x14ac:dyDescent="0.3">
      <c r="A42" s="147" t="s">
        <v>544</v>
      </c>
      <c r="B42" s="237" t="s">
        <v>390</v>
      </c>
      <c r="C42" s="60"/>
      <c r="D42" s="54"/>
      <c r="E42" s="54"/>
      <c r="F42" s="69"/>
      <c r="G42" s="70"/>
      <c r="H42" s="124"/>
      <c r="J42" s="126"/>
      <c r="K42" s="126"/>
      <c r="L42" s="126"/>
      <c r="M42" s="87"/>
      <c r="N42" s="126"/>
    </row>
    <row r="43" spans="1:23" ht="30" hidden="1" customHeight="1" thickBot="1" x14ac:dyDescent="0.3">
      <c r="A43" s="147" t="s">
        <v>544</v>
      </c>
      <c r="B43" s="222" t="s">
        <v>390</v>
      </c>
      <c r="C43" s="177"/>
      <c r="D43" s="178"/>
      <c r="E43" s="179"/>
      <c r="F43" s="180"/>
      <c r="G43" s="181"/>
      <c r="H43" s="182"/>
      <c r="J43" s="183"/>
      <c r="K43" s="183"/>
      <c r="L43" s="183"/>
      <c r="M43" s="184"/>
      <c r="N43" s="183"/>
    </row>
    <row r="44" spans="1:23" ht="16.5" hidden="1" thickTop="1" thickBot="1" x14ac:dyDescent="0.3">
      <c r="A44" s="147" t="s">
        <v>544</v>
      </c>
      <c r="B44" s="237" t="s">
        <v>390</v>
      </c>
      <c r="C44" s="60"/>
      <c r="D44" s="61"/>
      <c r="E44" s="61"/>
      <c r="F44" s="67"/>
      <c r="G44" s="67"/>
      <c r="H44" s="123"/>
      <c r="J44" s="126"/>
      <c r="K44" s="126"/>
      <c r="L44" s="126"/>
      <c r="M44" s="87"/>
      <c r="N44" s="126"/>
    </row>
    <row r="45" spans="1:23" ht="30" hidden="1" customHeight="1" thickBot="1" x14ac:dyDescent="0.3">
      <c r="A45" s="147" t="s">
        <v>544</v>
      </c>
      <c r="B45" s="222" t="s">
        <v>390</v>
      </c>
      <c r="C45" s="177"/>
      <c r="D45" s="178"/>
      <c r="E45" s="179"/>
      <c r="F45" s="180"/>
      <c r="G45" s="181"/>
      <c r="H45" s="182"/>
      <c r="J45" s="183"/>
      <c r="K45" s="183"/>
      <c r="L45" s="183"/>
      <c r="M45" s="184"/>
      <c r="N45" s="183"/>
    </row>
    <row r="46" spans="1:23" ht="16.5" hidden="1" thickTop="1" thickBot="1" x14ac:dyDescent="0.3">
      <c r="A46" s="147" t="s">
        <v>544</v>
      </c>
      <c r="B46" s="237" t="s">
        <v>390</v>
      </c>
      <c r="C46" s="60"/>
      <c r="D46" s="61"/>
      <c r="E46" s="61"/>
      <c r="F46" s="67"/>
      <c r="G46" s="67"/>
      <c r="H46" s="145"/>
      <c r="J46" s="126"/>
      <c r="K46" s="126"/>
      <c r="L46" s="126"/>
      <c r="M46" s="87"/>
      <c r="N46" s="126"/>
    </row>
    <row r="47" spans="1:23" ht="30" hidden="1" customHeight="1" thickBot="1" x14ac:dyDescent="0.3">
      <c r="A47" s="147" t="s">
        <v>544</v>
      </c>
      <c r="B47" s="222" t="s">
        <v>390</v>
      </c>
      <c r="C47" s="177"/>
      <c r="D47" s="193"/>
      <c r="E47" s="194"/>
      <c r="F47" s="220"/>
      <c r="G47" s="195"/>
      <c r="H47" s="196"/>
      <c r="J47" s="183"/>
      <c r="K47" s="183"/>
      <c r="L47" s="183"/>
      <c r="M47" s="184"/>
      <c r="N47" s="183"/>
    </row>
    <row r="48" spans="1:23" ht="16.5" hidden="1" thickTop="1" thickBot="1" x14ac:dyDescent="0.3">
      <c r="A48" s="147" t="s">
        <v>544</v>
      </c>
      <c r="B48" s="237" t="s">
        <v>390</v>
      </c>
      <c r="C48" s="60"/>
      <c r="D48" s="54"/>
      <c r="E48" s="54"/>
      <c r="F48" s="54"/>
      <c r="G48" s="54"/>
      <c r="H48" s="55"/>
      <c r="J48" s="107"/>
      <c r="K48" s="107"/>
      <c r="L48" s="107"/>
      <c r="M48" s="56"/>
      <c r="N48" s="107"/>
    </row>
    <row r="49" spans="1:23" ht="30" hidden="1" customHeight="1" thickBot="1" x14ac:dyDescent="0.3">
      <c r="A49" s="147" t="s">
        <v>544</v>
      </c>
      <c r="B49" s="222" t="s">
        <v>390</v>
      </c>
      <c r="C49" s="177"/>
      <c r="D49" s="178"/>
      <c r="E49" s="179"/>
      <c r="F49" s="180"/>
      <c r="G49" s="181"/>
      <c r="H49" s="182"/>
      <c r="J49" s="183"/>
      <c r="K49" s="183"/>
      <c r="L49" s="183"/>
      <c r="M49" s="184"/>
      <c r="N49" s="183"/>
      <c r="Q49" s="101"/>
      <c r="R49" s="101"/>
      <c r="S49" s="101"/>
      <c r="T49" s="101"/>
      <c r="U49" s="101"/>
      <c r="V49" s="101"/>
      <c r="W49" s="101"/>
    </row>
    <row r="50" spans="1:23" ht="16.5" hidden="1" thickTop="1" thickBot="1" x14ac:dyDescent="0.3">
      <c r="A50" s="147" t="s">
        <v>544</v>
      </c>
      <c r="B50" s="237" t="s">
        <v>390</v>
      </c>
      <c r="C50" s="60"/>
      <c r="D50" s="61"/>
      <c r="E50" s="61"/>
      <c r="F50" s="67"/>
      <c r="G50" s="68"/>
      <c r="H50" s="123"/>
      <c r="J50" s="126"/>
      <c r="K50" s="126"/>
      <c r="L50" s="126"/>
      <c r="M50" s="87"/>
      <c r="N50" s="126"/>
    </row>
    <row r="51" spans="1:23" ht="30" hidden="1" customHeight="1" thickBot="1" x14ac:dyDescent="0.3">
      <c r="A51" s="147" t="s">
        <v>544</v>
      </c>
      <c r="B51" s="222" t="s">
        <v>390</v>
      </c>
      <c r="C51" s="177"/>
      <c r="D51" s="178"/>
      <c r="E51" s="179"/>
      <c r="F51" s="180"/>
      <c r="G51" s="181"/>
      <c r="H51" s="182"/>
      <c r="J51" s="183"/>
      <c r="K51" s="183"/>
      <c r="L51" s="183"/>
      <c r="M51" s="184"/>
      <c r="N51" s="183"/>
    </row>
    <row r="52" spans="1:23" ht="16.5" hidden="1" thickTop="1" thickBot="1" x14ac:dyDescent="0.3">
      <c r="A52" s="147" t="s">
        <v>544</v>
      </c>
      <c r="B52" s="237" t="s">
        <v>390</v>
      </c>
      <c r="C52" s="134"/>
      <c r="D52" s="135"/>
      <c r="E52" s="135"/>
      <c r="F52" s="136"/>
      <c r="G52" s="137"/>
      <c r="H52" s="138"/>
      <c r="J52" s="126"/>
      <c r="K52" s="126"/>
      <c r="L52" s="126"/>
      <c r="M52" s="87"/>
      <c r="N52" s="126"/>
    </row>
    <row r="53" spans="1:23" ht="30" hidden="1" customHeight="1" thickBot="1" x14ac:dyDescent="0.3">
      <c r="A53" s="147" t="s">
        <v>544</v>
      </c>
      <c r="B53" s="222" t="s">
        <v>390</v>
      </c>
      <c r="C53" s="177"/>
      <c r="D53" s="178"/>
      <c r="E53" s="179"/>
      <c r="F53" s="180"/>
      <c r="G53" s="181"/>
      <c r="H53" s="182"/>
      <c r="J53" s="183"/>
      <c r="K53" s="183"/>
      <c r="L53" s="183"/>
      <c r="M53" s="184"/>
      <c r="N53" s="183"/>
    </row>
    <row r="54" spans="1:23" ht="16.5" hidden="1" thickTop="1" thickBot="1" x14ac:dyDescent="0.3">
      <c r="A54" s="147" t="s">
        <v>544</v>
      </c>
      <c r="B54" s="237" t="s">
        <v>390</v>
      </c>
      <c r="C54" s="60"/>
      <c r="D54" s="61"/>
      <c r="E54" s="61"/>
      <c r="F54" s="67"/>
      <c r="G54" s="67"/>
      <c r="H54" s="123"/>
      <c r="J54" s="126"/>
      <c r="K54" s="126"/>
      <c r="L54" s="126"/>
      <c r="M54" s="87"/>
      <c r="N54" s="126"/>
    </row>
    <row r="55" spans="1:23" ht="30" hidden="1" customHeight="1" thickBot="1" x14ac:dyDescent="0.3">
      <c r="A55" s="147" t="s">
        <v>544</v>
      </c>
      <c r="B55" s="222" t="s">
        <v>390</v>
      </c>
      <c r="C55" s="177"/>
      <c r="D55" s="188"/>
      <c r="E55" s="189"/>
      <c r="F55" s="220"/>
      <c r="G55" s="190"/>
      <c r="H55" s="185"/>
      <c r="J55" s="183"/>
      <c r="K55" s="183"/>
      <c r="L55" s="183"/>
      <c r="M55" s="184"/>
      <c r="N55" s="183"/>
    </row>
    <row r="56" spans="1:23" ht="16.5" hidden="1" thickTop="1" thickBot="1" x14ac:dyDescent="0.3">
      <c r="A56" s="147" t="s">
        <v>544</v>
      </c>
      <c r="B56" s="237" t="s">
        <v>390</v>
      </c>
      <c r="C56" s="60"/>
      <c r="D56" s="54"/>
      <c r="E56" s="54"/>
      <c r="F56" s="69"/>
      <c r="G56" s="69"/>
      <c r="H56" s="71"/>
      <c r="J56" s="126"/>
      <c r="K56" s="126"/>
      <c r="L56" s="126"/>
      <c r="M56" s="87"/>
      <c r="N56" s="126"/>
    </row>
    <row r="57" spans="1:23" ht="30" hidden="1" customHeight="1" thickBot="1" x14ac:dyDescent="0.3">
      <c r="A57" s="147" t="s">
        <v>544</v>
      </c>
      <c r="B57" s="222" t="s">
        <v>390</v>
      </c>
      <c r="C57" s="177"/>
      <c r="D57" s="178"/>
      <c r="E57" s="179"/>
      <c r="F57" s="180"/>
      <c r="G57" s="181"/>
      <c r="H57" s="182"/>
      <c r="J57" s="183"/>
      <c r="K57" s="183"/>
      <c r="L57" s="183"/>
      <c r="M57" s="184"/>
      <c r="N57" s="183"/>
    </row>
    <row r="58" spans="1:23" ht="16.5" hidden="1" thickTop="1" thickBot="1" x14ac:dyDescent="0.3">
      <c r="A58" s="147" t="s">
        <v>544</v>
      </c>
      <c r="B58" s="237" t="s">
        <v>390</v>
      </c>
      <c r="C58" s="134"/>
      <c r="D58" s="135"/>
      <c r="E58" s="135"/>
      <c r="F58" s="135"/>
      <c r="G58" s="135"/>
      <c r="H58" s="144"/>
      <c r="J58" s="107"/>
      <c r="K58" s="107"/>
      <c r="L58" s="107"/>
      <c r="M58" s="56"/>
      <c r="N58" s="107"/>
    </row>
    <row r="59" spans="1:23" ht="30" hidden="1" customHeight="1" thickBot="1" x14ac:dyDescent="0.3">
      <c r="A59" s="147" t="s">
        <v>544</v>
      </c>
      <c r="B59" s="222" t="s">
        <v>390</v>
      </c>
      <c r="C59" s="177"/>
      <c r="D59" s="178"/>
      <c r="E59" s="179"/>
      <c r="F59" s="180"/>
      <c r="G59" s="181"/>
      <c r="H59" s="182"/>
      <c r="J59" s="183"/>
      <c r="K59" s="183"/>
      <c r="L59" s="183"/>
      <c r="M59" s="184"/>
      <c r="N59" s="183"/>
      <c r="Q59" s="101"/>
      <c r="R59" s="101"/>
      <c r="S59" s="101"/>
      <c r="T59" s="101"/>
      <c r="U59" s="101"/>
      <c r="V59" s="101"/>
      <c r="W59" s="101"/>
    </row>
    <row r="60" spans="1:23" ht="16.5" hidden="1" thickTop="1" thickBot="1" x14ac:dyDescent="0.3">
      <c r="A60" s="147" t="s">
        <v>544</v>
      </c>
      <c r="B60" s="237" t="s">
        <v>390</v>
      </c>
      <c r="C60" s="60"/>
      <c r="D60" s="61"/>
      <c r="E60" s="61"/>
      <c r="F60" s="67"/>
      <c r="G60" s="68"/>
      <c r="H60" s="123"/>
      <c r="J60" s="126"/>
      <c r="K60" s="126"/>
      <c r="L60" s="126"/>
      <c r="M60" s="87"/>
      <c r="N60" s="126"/>
    </row>
    <row r="61" spans="1:23" ht="30" hidden="1" customHeight="1" thickBot="1" x14ac:dyDescent="0.3">
      <c r="A61" s="147" t="s">
        <v>544</v>
      </c>
      <c r="B61" s="222" t="s">
        <v>390</v>
      </c>
      <c r="C61" s="177"/>
      <c r="D61" s="188"/>
      <c r="E61" s="189"/>
      <c r="F61" s="220"/>
      <c r="G61" s="190"/>
      <c r="H61" s="185"/>
      <c r="J61" s="183"/>
      <c r="K61" s="183"/>
      <c r="L61" s="183"/>
      <c r="M61" s="184"/>
      <c r="N61" s="183"/>
    </row>
    <row r="62" spans="1:23" ht="16.5" hidden="1" thickTop="1" thickBot="1" x14ac:dyDescent="0.3">
      <c r="A62" s="147" t="s">
        <v>544</v>
      </c>
      <c r="B62" s="237" t="s">
        <v>390</v>
      </c>
      <c r="C62" s="60"/>
      <c r="D62" s="54"/>
      <c r="E62" s="54"/>
      <c r="F62" s="69"/>
      <c r="G62" s="70"/>
      <c r="H62" s="124"/>
      <c r="J62" s="126"/>
      <c r="K62" s="126"/>
      <c r="L62" s="126"/>
      <c r="M62" s="87"/>
      <c r="N62" s="126"/>
    </row>
    <row r="63" spans="1:23" ht="30" hidden="1" customHeight="1" thickBot="1" x14ac:dyDescent="0.3">
      <c r="A63" s="147" t="s">
        <v>544</v>
      </c>
      <c r="B63" s="222" t="s">
        <v>390</v>
      </c>
      <c r="C63" s="177"/>
      <c r="D63" s="178"/>
      <c r="E63" s="179"/>
      <c r="F63" s="180"/>
      <c r="G63" s="181"/>
      <c r="H63" s="182"/>
      <c r="J63" s="183"/>
      <c r="K63" s="183"/>
      <c r="L63" s="183"/>
      <c r="M63" s="184"/>
      <c r="N63" s="183"/>
    </row>
    <row r="64" spans="1:23" ht="16.5" hidden="1" thickTop="1" thickBot="1" x14ac:dyDescent="0.3">
      <c r="A64" s="147" t="s">
        <v>544</v>
      </c>
      <c r="B64" s="237" t="s">
        <v>390</v>
      </c>
      <c r="C64" s="60"/>
      <c r="D64" s="61"/>
      <c r="E64" s="61"/>
      <c r="F64" s="67"/>
      <c r="G64" s="67"/>
      <c r="H64" s="123"/>
      <c r="J64" s="87"/>
      <c r="N64" s="126"/>
    </row>
    <row r="65" spans="1:16" x14ac:dyDescent="0.25">
      <c r="A65" s="147" t="str">
        <f>+'Anx I pg 1 oferta'!$B$18&amp;"T2_L09_TOT"</f>
        <v>T2_L09_TOT</v>
      </c>
      <c r="B65" s="122"/>
      <c r="C65" s="122"/>
      <c r="D65" s="122"/>
      <c r="E65" s="122"/>
      <c r="F65" s="285">
        <f>SUM(F29:F64)</f>
        <v>1</v>
      </c>
      <c r="G65" s="286">
        <f>SUM(G29:G64)</f>
        <v>0</v>
      </c>
      <c r="H65" s="287">
        <f>SUM(H29:H64)</f>
        <v>0</v>
      </c>
      <c r="I65" s="15"/>
    </row>
    <row r="66" spans="1:16" x14ac:dyDescent="0.25">
      <c r="A66" s="147" t="s">
        <v>544</v>
      </c>
    </row>
    <row r="67" spans="1:16" x14ac:dyDescent="0.25">
      <c r="A67" s="147" t="s">
        <v>544</v>
      </c>
      <c r="M67" s="82"/>
      <c r="P67" s="82"/>
    </row>
    <row r="68" spans="1:16" x14ac:dyDescent="0.25">
      <c r="A68" s="147" t="s">
        <v>544</v>
      </c>
    </row>
    <row r="69" spans="1:16" ht="30" customHeight="1" x14ac:dyDescent="0.25">
      <c r="A69" s="147" t="s">
        <v>544</v>
      </c>
      <c r="B69" s="226" t="s">
        <v>530</v>
      </c>
    </row>
    <row r="70" spans="1:16" x14ac:dyDescent="0.25">
      <c r="A70" s="147" t="s">
        <v>544</v>
      </c>
    </row>
    <row r="71" spans="1:16" x14ac:dyDescent="0.25">
      <c r="A71" s="147" t="s">
        <v>544</v>
      </c>
      <c r="B71" s="2" t="s">
        <v>535</v>
      </c>
    </row>
    <row r="72" spans="1:16" ht="15.75" thickBot="1" x14ac:dyDescent="0.3">
      <c r="A72" s="147" t="s">
        <v>544</v>
      </c>
      <c r="B72" s="2" t="str">
        <f>+$B$11</f>
        <v>Lote  9 : Comunidad Autónoma de Canarias.</v>
      </c>
    </row>
    <row r="73" spans="1:16" ht="30" customHeight="1" thickBot="1" x14ac:dyDescent="0.3">
      <c r="A73" s="147" t="str">
        <f>+'Anx I pg 1 oferta'!$B$18&amp;"T3_L09_cab0a"</f>
        <v>T3_L09_cab0a</v>
      </c>
      <c r="B73" s="200" t="s">
        <v>59</v>
      </c>
      <c r="C73" s="200" t="s">
        <v>379</v>
      </c>
      <c r="D73" s="200" t="s">
        <v>60</v>
      </c>
      <c r="E73" s="200" t="s">
        <v>359</v>
      </c>
      <c r="F73" s="201" t="s">
        <v>378</v>
      </c>
      <c r="G73" s="105" t="s">
        <v>533</v>
      </c>
      <c r="H73" s="103" t="s">
        <v>360</v>
      </c>
      <c r="I73" s="103" t="s">
        <v>361</v>
      </c>
      <c r="J73" s="106" t="s">
        <v>380</v>
      </c>
      <c r="K73" s="274" t="s">
        <v>490</v>
      </c>
      <c r="L73" s="202"/>
    </row>
    <row r="74" spans="1:16" ht="15.75" thickBot="1" x14ac:dyDescent="0.3">
      <c r="A74" s="147" t="str">
        <f>+'Anx I pg 1 oferta'!$B$18&amp;"T3_L09_cab0b"</f>
        <v>T3_L09_cab0b</v>
      </c>
      <c r="B74" s="203" t="str">
        <f>+B27</f>
        <v>LOTE-09</v>
      </c>
      <c r="C74" s="204" t="str">
        <f>+C27</f>
        <v>(plazo de2 meses)</v>
      </c>
      <c r="D74" s="205"/>
      <c r="E74" s="206"/>
      <c r="F74" s="207">
        <v>1</v>
      </c>
      <c r="G74" s="208"/>
      <c r="H74" s="205"/>
      <c r="I74" s="205"/>
      <c r="J74" s="205"/>
      <c r="K74" s="206"/>
      <c r="L74" s="202"/>
    </row>
    <row r="75" spans="1:16" ht="15.75" thickBot="1" x14ac:dyDescent="0.3">
      <c r="A75" s="147" t="str">
        <f>+'Anx I pg 1 oferta'!$B$18&amp;"T3_L09_cab1(CA)"</f>
        <v>T3_L09_cab1(CA)</v>
      </c>
      <c r="B75" s="209" t="s">
        <v>390</v>
      </c>
      <c r="C75" s="210" t="str">
        <f>+C28</f>
        <v>ISLAS CANARIAS</v>
      </c>
      <c r="D75" s="211"/>
      <c r="E75" s="211"/>
      <c r="F75" s="211"/>
      <c r="G75" s="211"/>
      <c r="H75" s="211"/>
      <c r="I75" s="211"/>
      <c r="J75" s="211"/>
      <c r="K75" s="212">
        <f>+G18</f>
        <v>0</v>
      </c>
      <c r="L75" s="202"/>
    </row>
    <row r="76" spans="1:16" ht="15.75" thickBot="1" x14ac:dyDescent="0.3">
      <c r="A76" s="147" t="str">
        <f>+'Anx I pg 1 oferta'!$B$18&amp;"T3_L09_inst_"&amp;B76&amp;"DA1"</f>
        <v>T3_L09_inst_L09-01DA1</v>
      </c>
      <c r="B76" s="348" t="s">
        <v>341</v>
      </c>
      <c r="C76" s="351" t="str">
        <f>+VLOOKUP(B76,'DATOS CENTROS'!B:E,2,FALSE)</f>
        <v>Las Mesas de Galaz</v>
      </c>
      <c r="D76" s="354" t="str">
        <f>+VLOOKUP(B76,'DATOS CENTROS'!B:E,3,FALSE)</f>
        <v xml:space="preserve"> A + C</v>
      </c>
      <c r="E76" s="357" t="str">
        <f>+VLOOKUP(B76,'DATOS CENTROS'!B:E,4,FALSE)</f>
        <v>C.E. OM LAS MESAS DE GALAZ</v>
      </c>
      <c r="F76" s="360">
        <f>+VLOOKUP(B76,'DATOS CENTROS'!B:F,5,FALSE)</f>
        <v>0.214</v>
      </c>
      <c r="G76" s="342" t="str">
        <f>+IF(G29&gt;0,G29,"")</f>
        <v/>
      </c>
      <c r="H76" s="213" t="s">
        <v>25</v>
      </c>
      <c r="I76" s="214">
        <v>0.15</v>
      </c>
      <c r="J76" s="215" t="e">
        <f>+IF($K$76&gt;0,+ROUND($K$76*I76,0),"")</f>
        <v>#VALUE!</v>
      </c>
      <c r="K76" s="345" t="str">
        <f>+IFERROR(IF(OR($G$18=0,LEN($G$18)=0),"",IF(AND(M29="ok",(H29/H29)=1),N29,"")),"¿?")</f>
        <v/>
      </c>
      <c r="L76" s="202"/>
    </row>
    <row r="77" spans="1:16" ht="15.75" thickBot="1" x14ac:dyDescent="0.3">
      <c r="A77" s="147" t="str">
        <f>+'Anx I pg 1 oferta'!$B$18&amp;"T3_L09_inst_"&amp;B76&amp;"DA2"</f>
        <v>T3_L09_inst_L09-01DA2</v>
      </c>
      <c r="B77" s="349"/>
      <c r="C77" s="352"/>
      <c r="D77" s="355"/>
      <c r="E77" s="358"/>
      <c r="F77" s="361"/>
      <c r="G77" s="343"/>
      <c r="H77" s="213" t="s">
        <v>26</v>
      </c>
      <c r="I77" s="214">
        <v>0.1</v>
      </c>
      <c r="J77" s="215" t="e">
        <f t="shared" ref="J77:J79" si="0">+IF($K$76&gt;0,+ROUND($K$76*I77,0),"")</f>
        <v>#VALUE!</v>
      </c>
      <c r="K77" s="346"/>
      <c r="L77" s="202"/>
    </row>
    <row r="78" spans="1:16" ht="15.75" thickBot="1" x14ac:dyDescent="0.3">
      <c r="A78" s="147" t="str">
        <f>+'Anx I pg 1 oferta'!$B$18&amp;"T3_L09_inst_"&amp;B76&amp;"DA3"</f>
        <v>T3_L09_inst_L09-01DA3</v>
      </c>
      <c r="B78" s="349"/>
      <c r="C78" s="352"/>
      <c r="D78" s="355"/>
      <c r="E78" s="358"/>
      <c r="F78" s="361"/>
      <c r="G78" s="343"/>
      <c r="H78" s="213" t="s">
        <v>27</v>
      </c>
      <c r="I78" s="214">
        <v>0.2</v>
      </c>
      <c r="J78" s="215" t="e">
        <f t="shared" si="0"/>
        <v>#VALUE!</v>
      </c>
      <c r="K78" s="346"/>
      <c r="L78" s="202"/>
    </row>
    <row r="79" spans="1:16" ht="15.75" thickBot="1" x14ac:dyDescent="0.3">
      <c r="A79" s="147" t="str">
        <f>+'Anx I pg 1 oferta'!$B$18&amp;"T3_L09_inst_"&amp;B76&amp;"DA4"</f>
        <v>T3_L09_inst_L09-01DA4</v>
      </c>
      <c r="B79" s="349"/>
      <c r="C79" s="352"/>
      <c r="D79" s="355"/>
      <c r="E79" s="358"/>
      <c r="F79" s="361"/>
      <c r="G79" s="343"/>
      <c r="H79" s="213" t="s">
        <v>57</v>
      </c>
      <c r="I79" s="214">
        <v>0.05</v>
      </c>
      <c r="J79" s="215" t="e">
        <f t="shared" si="0"/>
        <v>#VALUE!</v>
      </c>
      <c r="K79" s="346"/>
      <c r="L79" s="202"/>
    </row>
    <row r="80" spans="1:16" ht="15.75" thickBot="1" x14ac:dyDescent="0.3">
      <c r="A80" s="147" t="str">
        <f>+'Anx I pg 1 oferta'!$B$18&amp;"T3_L09_inst_"&amp;B76&amp;"DA5"</f>
        <v>T3_L09_inst_L09-01DA5</v>
      </c>
      <c r="B80" s="350"/>
      <c r="C80" s="353"/>
      <c r="D80" s="356"/>
      <c r="E80" s="359"/>
      <c r="F80" s="362"/>
      <c r="G80" s="344"/>
      <c r="H80" s="213" t="s">
        <v>364</v>
      </c>
      <c r="I80" s="214">
        <v>0.5</v>
      </c>
      <c r="J80" s="215" t="e">
        <f>+IF($K$76&gt;0,+$K$76-SUM(J76:J79),"")</f>
        <v>#VALUE!</v>
      </c>
      <c r="K80" s="347"/>
      <c r="L80" s="202"/>
    </row>
    <row r="81" spans="1:12" ht="15.75" customHeight="1" thickBot="1" x14ac:dyDescent="0.3">
      <c r="A81" s="147" t="str">
        <f>+'Anx I pg 1 oferta'!$B$18&amp;"T3_L09_inst_"&amp;B81&amp;"DA1"</f>
        <v>T3_L09_inst_L09-02DA1</v>
      </c>
      <c r="B81" s="348" t="s">
        <v>343</v>
      </c>
      <c r="C81" s="351" t="str">
        <f>+VLOOKUP(B81,'DATOS CENTROS'!B:E,2,FALSE)</f>
        <v>Barrio Feria del Atlántico, Av. Escaleritas, 300-334</v>
      </c>
      <c r="D81" s="354" t="str">
        <f>+VLOOKUP(B81,'DATOS CENTROS'!B:E,3,FALSE)</f>
        <v xml:space="preserve"> A + C</v>
      </c>
      <c r="E81" s="357" t="str">
        <f>+VLOOKUP(B81,'DATOS CENTROS'!B:E,4,FALSE)</f>
        <v>C.P. RTVE Canarias</v>
      </c>
      <c r="F81" s="360">
        <f>+VLOOKUP(B81,'DATOS CENTROS'!B:F,5,FALSE)</f>
        <v>0.42699999999999999</v>
      </c>
      <c r="G81" s="342" t="str">
        <f>+IF(G31&gt;0,G31,"")</f>
        <v/>
      </c>
      <c r="H81" s="213" t="s">
        <v>25</v>
      </c>
      <c r="I81" s="214">
        <v>0.15</v>
      </c>
      <c r="J81" s="215" t="e">
        <f>+IF($K$81&gt;0,+ROUND($K$81*I81,0),"")</f>
        <v>#VALUE!</v>
      </c>
      <c r="K81" s="345" t="str">
        <f>+IFERROR(IF(OR($G$18=0,LEN($G$18)=0),"",IF(AND(M31="ok",(H31/H31)=1),N31,"")),"¿?")</f>
        <v/>
      </c>
      <c r="L81" s="202"/>
    </row>
    <row r="82" spans="1:12" ht="15.75" thickBot="1" x14ac:dyDescent="0.3">
      <c r="A82" s="147" t="str">
        <f>+'Anx I pg 1 oferta'!$B$18&amp;"T3_L09_inst_"&amp;B81&amp;"DA2"</f>
        <v>T3_L09_inst_L09-02DA2</v>
      </c>
      <c r="B82" s="349"/>
      <c r="C82" s="352"/>
      <c r="D82" s="355"/>
      <c r="E82" s="358"/>
      <c r="F82" s="361"/>
      <c r="G82" s="343"/>
      <c r="H82" s="213" t="s">
        <v>26</v>
      </c>
      <c r="I82" s="214">
        <v>0.1</v>
      </c>
      <c r="J82" s="215" t="e">
        <f t="shared" ref="J82:J84" si="1">+IF($K$81&gt;0,+ROUND($K$81*I82,0),"")</f>
        <v>#VALUE!</v>
      </c>
      <c r="K82" s="346"/>
      <c r="L82" s="202"/>
    </row>
    <row r="83" spans="1:12" ht="15.75" thickBot="1" x14ac:dyDescent="0.3">
      <c r="A83" s="147" t="str">
        <f>+'Anx I pg 1 oferta'!$B$18&amp;"T3_L09_inst_"&amp;B81&amp;"DA3"</f>
        <v>T3_L09_inst_L09-02DA3</v>
      </c>
      <c r="B83" s="349"/>
      <c r="C83" s="352"/>
      <c r="D83" s="355"/>
      <c r="E83" s="358"/>
      <c r="F83" s="361"/>
      <c r="G83" s="343"/>
      <c r="H83" s="213" t="s">
        <v>27</v>
      </c>
      <c r="I83" s="214">
        <v>0.2</v>
      </c>
      <c r="J83" s="215" t="e">
        <f t="shared" si="1"/>
        <v>#VALUE!</v>
      </c>
      <c r="K83" s="346"/>
      <c r="L83" s="202"/>
    </row>
    <row r="84" spans="1:12" ht="15.75" thickBot="1" x14ac:dyDescent="0.3">
      <c r="A84" s="147" t="str">
        <f>+'Anx I pg 1 oferta'!$B$18&amp;"T3_L09_inst_"&amp;B81&amp;"DA4"</f>
        <v>T3_L09_inst_L09-02DA4</v>
      </c>
      <c r="B84" s="349"/>
      <c r="C84" s="352"/>
      <c r="D84" s="355"/>
      <c r="E84" s="358"/>
      <c r="F84" s="361"/>
      <c r="G84" s="343"/>
      <c r="H84" s="213" t="s">
        <v>57</v>
      </c>
      <c r="I84" s="214">
        <v>0.05</v>
      </c>
      <c r="J84" s="215" t="e">
        <f t="shared" si="1"/>
        <v>#VALUE!</v>
      </c>
      <c r="K84" s="346"/>
      <c r="L84" s="202"/>
    </row>
    <row r="85" spans="1:12" ht="15.75" thickBot="1" x14ac:dyDescent="0.3">
      <c r="A85" s="147" t="str">
        <f>+'Anx I pg 1 oferta'!$B$18&amp;"T3_L09_inst_"&amp;B81&amp;"DA5"</f>
        <v>T3_L09_inst_L09-02DA5</v>
      </c>
      <c r="B85" s="350"/>
      <c r="C85" s="353"/>
      <c r="D85" s="356"/>
      <c r="E85" s="359"/>
      <c r="F85" s="362"/>
      <c r="G85" s="344"/>
      <c r="H85" s="213" t="s">
        <v>364</v>
      </c>
      <c r="I85" s="214">
        <v>0.5</v>
      </c>
      <c r="J85" s="215" t="e">
        <f>+IF($K$81&gt;0,+$K$81-SUM(J81:J84),"")</f>
        <v>#VALUE!</v>
      </c>
      <c r="K85" s="347"/>
      <c r="L85" s="202"/>
    </row>
    <row r="86" spans="1:12" ht="15.75" thickBot="1" x14ac:dyDescent="0.3">
      <c r="A86" s="147" t="str">
        <f>+'Anx I pg 1 oferta'!$B$18&amp;"T3_L09_inst_"&amp;B86&amp;"DA1"</f>
        <v>T3_L09_inst_L09-03DA1</v>
      </c>
      <c r="B86" s="348" t="s">
        <v>345</v>
      </c>
      <c r="C86" s="351" t="str">
        <f>+VLOOKUP(B86,'DATOS CENTROS'!B:E,2,FALSE)</f>
        <v>Avda. Buenos Aires, 69</v>
      </c>
      <c r="D86" s="354" t="str">
        <f>+VLOOKUP(B86,'DATOS CENTROS'!B:E,3,FALSE)</f>
        <v xml:space="preserve"> A + C</v>
      </c>
      <c r="E86" s="357" t="str">
        <f>+VLOOKUP(B86,'DATOS CENTROS'!B:E,4,FALSE)</f>
        <v>C.T. TVE Tenerife</v>
      </c>
      <c r="F86" s="360">
        <f>+VLOOKUP(B86,'DATOS CENTROS'!B:F,5,FALSE)</f>
        <v>0.252</v>
      </c>
      <c r="G86" s="342" t="str">
        <f>+IF(G33&gt;0,G33,"")</f>
        <v/>
      </c>
      <c r="H86" s="213" t="s">
        <v>25</v>
      </c>
      <c r="I86" s="214">
        <v>0.15</v>
      </c>
      <c r="J86" s="215" t="e">
        <f>+IF($K$86&gt;0,+ROUND($K$86*I86,0),"")</f>
        <v>#VALUE!</v>
      </c>
      <c r="K86" s="345" t="str">
        <f>+IFERROR(IF(OR($G$18=0,LEN($G$18)=0),"",IF(AND(M33="ok",(H33/H33)=1),N33,"")),"¿?")</f>
        <v/>
      </c>
      <c r="L86" s="202"/>
    </row>
    <row r="87" spans="1:12" ht="15.75" thickBot="1" x14ac:dyDescent="0.3">
      <c r="A87" s="147" t="str">
        <f>+'Anx I pg 1 oferta'!$B$18&amp;"T3_L09_inst_"&amp;B86&amp;"DA2"</f>
        <v>T3_L09_inst_L09-03DA2</v>
      </c>
      <c r="B87" s="349"/>
      <c r="C87" s="352"/>
      <c r="D87" s="355"/>
      <c r="E87" s="358"/>
      <c r="F87" s="361"/>
      <c r="G87" s="343"/>
      <c r="H87" s="213" t="s">
        <v>26</v>
      </c>
      <c r="I87" s="214">
        <v>0.1</v>
      </c>
      <c r="J87" s="215" t="e">
        <f t="shared" ref="J87:J89" si="2">+IF($K$86&gt;0,+ROUND($K$86*I87,0),"")</f>
        <v>#VALUE!</v>
      </c>
      <c r="K87" s="346"/>
      <c r="L87" s="202"/>
    </row>
    <row r="88" spans="1:12" ht="15.75" thickBot="1" x14ac:dyDescent="0.3">
      <c r="A88" s="147" t="str">
        <f>+'Anx I pg 1 oferta'!$B$18&amp;"T3_L09_inst_"&amp;B86&amp;"DA3"</f>
        <v>T3_L09_inst_L09-03DA3</v>
      </c>
      <c r="B88" s="349"/>
      <c r="C88" s="352"/>
      <c r="D88" s="355"/>
      <c r="E88" s="358"/>
      <c r="F88" s="361"/>
      <c r="G88" s="343"/>
      <c r="H88" s="213" t="s">
        <v>27</v>
      </c>
      <c r="I88" s="214">
        <v>0.2</v>
      </c>
      <c r="J88" s="215" t="e">
        <f t="shared" si="2"/>
        <v>#VALUE!</v>
      </c>
      <c r="K88" s="346"/>
      <c r="L88" s="202"/>
    </row>
    <row r="89" spans="1:12" ht="15.75" thickBot="1" x14ac:dyDescent="0.3">
      <c r="A89" s="147" t="str">
        <f>+'Anx I pg 1 oferta'!$B$18&amp;"T3_L09_inst_"&amp;B86&amp;"DA4"</f>
        <v>T3_L09_inst_L09-03DA4</v>
      </c>
      <c r="B89" s="349"/>
      <c r="C89" s="352"/>
      <c r="D89" s="355"/>
      <c r="E89" s="358"/>
      <c r="F89" s="361"/>
      <c r="G89" s="343"/>
      <c r="H89" s="213" t="s">
        <v>57</v>
      </c>
      <c r="I89" s="214">
        <v>0.05</v>
      </c>
      <c r="J89" s="215" t="e">
        <f t="shared" si="2"/>
        <v>#VALUE!</v>
      </c>
      <c r="K89" s="346"/>
      <c r="L89" s="202"/>
    </row>
    <row r="90" spans="1:12" ht="15.75" thickBot="1" x14ac:dyDescent="0.3">
      <c r="A90" s="147" t="str">
        <f>+'Anx I pg 1 oferta'!$B$18&amp;"T3_L09_inst_"&amp;B86&amp;"DA5"</f>
        <v>T3_L09_inst_L09-03DA5</v>
      </c>
      <c r="B90" s="350"/>
      <c r="C90" s="353"/>
      <c r="D90" s="356"/>
      <c r="E90" s="359"/>
      <c r="F90" s="362"/>
      <c r="G90" s="344"/>
      <c r="H90" s="213" t="s">
        <v>364</v>
      </c>
      <c r="I90" s="214">
        <v>0.5</v>
      </c>
      <c r="J90" s="215" t="e">
        <f>+IF($K$86&gt;0,+$K$86-SUM(J86:J89),"")</f>
        <v>#VALUE!</v>
      </c>
      <c r="K90" s="347"/>
      <c r="L90" s="202"/>
    </row>
    <row r="91" spans="1:12" ht="15.75" thickBot="1" x14ac:dyDescent="0.3">
      <c r="A91" s="147" t="str">
        <f>+'Anx I pg 1 oferta'!$B$18&amp;"T3_L09_inst_"&amp;B91&amp;"DA1"</f>
        <v>T3_L09_inst_L09-04DA1</v>
      </c>
      <c r="B91" s="348" t="s">
        <v>347</v>
      </c>
      <c r="C91" s="351" t="str">
        <f>+VLOOKUP(B91,'DATOS CENTROS'!B:E,2,FALSE)</f>
        <v>Plaza  Constitución 4 7º  38700</v>
      </c>
      <c r="D91" s="354" t="str">
        <f>+VLOOKUP(B91,'DATOS CENTROS'!B:E,3,FALSE)</f>
        <v>C</v>
      </c>
      <c r="E91" s="357" t="str">
        <f>+VLOOKUP(B91,'DATOS CENTROS'!B:E,4,FALSE)</f>
        <v>D.I. RTVE Santa Cruz de La Palma</v>
      </c>
      <c r="F91" s="360">
        <f>+VLOOKUP(B91,'DATOS CENTROS'!B:F,5,FALSE)</f>
        <v>5.8000000000000003E-2</v>
      </c>
      <c r="G91" s="342" t="str">
        <f>+IF(G35&gt;0,G35,"")</f>
        <v/>
      </c>
      <c r="H91" s="213" t="s">
        <v>25</v>
      </c>
      <c r="I91" s="214">
        <v>0.15</v>
      </c>
      <c r="J91" s="215" t="e">
        <f>+IF($K$91&gt;0,+ROUND($K$91*I91,0),"")</f>
        <v>#VALUE!</v>
      </c>
      <c r="K91" s="345" t="str">
        <f>+IFERROR(IF(OR($G$18=0,LEN($G$18)=0),"",IF(AND(M35="ok",(H35/H35)=1),N35,"")),"¿?")</f>
        <v/>
      </c>
      <c r="L91" s="202"/>
    </row>
    <row r="92" spans="1:12" ht="15.75" thickBot="1" x14ac:dyDescent="0.3">
      <c r="A92" s="147" t="str">
        <f>+'Anx I pg 1 oferta'!$B$18&amp;"T3_L09_inst_"&amp;B91&amp;"DA2"</f>
        <v>T3_L09_inst_L09-04DA2</v>
      </c>
      <c r="B92" s="349"/>
      <c r="C92" s="352"/>
      <c r="D92" s="355"/>
      <c r="E92" s="358"/>
      <c r="F92" s="361"/>
      <c r="G92" s="343"/>
      <c r="H92" s="213" t="s">
        <v>26</v>
      </c>
      <c r="I92" s="214">
        <v>0.1</v>
      </c>
      <c r="J92" s="215" t="e">
        <f t="shared" ref="J92:J94" si="3">+IF($K$91&gt;0,+ROUND($K$91*I92,0),"")</f>
        <v>#VALUE!</v>
      </c>
      <c r="K92" s="346"/>
      <c r="L92" s="202"/>
    </row>
    <row r="93" spans="1:12" ht="15.75" thickBot="1" x14ac:dyDescent="0.3">
      <c r="A93" s="147" t="str">
        <f>+'Anx I pg 1 oferta'!$B$18&amp;"T3_L09_inst_"&amp;B91&amp;"DA3"</f>
        <v>T3_L09_inst_L09-04DA3</v>
      </c>
      <c r="B93" s="349"/>
      <c r="C93" s="352"/>
      <c r="D93" s="355"/>
      <c r="E93" s="358"/>
      <c r="F93" s="361"/>
      <c r="G93" s="343"/>
      <c r="H93" s="213" t="s">
        <v>27</v>
      </c>
      <c r="I93" s="214">
        <v>0.2</v>
      </c>
      <c r="J93" s="215" t="e">
        <f t="shared" si="3"/>
        <v>#VALUE!</v>
      </c>
      <c r="K93" s="346"/>
      <c r="L93" s="202"/>
    </row>
    <row r="94" spans="1:12" ht="15.75" thickBot="1" x14ac:dyDescent="0.3">
      <c r="A94" s="147" t="str">
        <f>+'Anx I pg 1 oferta'!$B$18&amp;"T3_L09_inst_"&amp;B91&amp;"DA4"</f>
        <v>T3_L09_inst_L09-04DA4</v>
      </c>
      <c r="B94" s="349"/>
      <c r="C94" s="352"/>
      <c r="D94" s="355"/>
      <c r="E94" s="358"/>
      <c r="F94" s="361"/>
      <c r="G94" s="343"/>
      <c r="H94" s="213" t="s">
        <v>57</v>
      </c>
      <c r="I94" s="214">
        <v>0.05</v>
      </c>
      <c r="J94" s="215" t="e">
        <f t="shared" si="3"/>
        <v>#VALUE!</v>
      </c>
      <c r="K94" s="346"/>
      <c r="L94" s="202"/>
    </row>
    <row r="95" spans="1:12" ht="15.75" thickBot="1" x14ac:dyDescent="0.3">
      <c r="A95" s="147" t="str">
        <f>+'Anx I pg 1 oferta'!$B$18&amp;"T3_L09_inst_"&amp;B91&amp;"DA5"</f>
        <v>T3_L09_inst_L09-04DA5</v>
      </c>
      <c r="B95" s="350"/>
      <c r="C95" s="353"/>
      <c r="D95" s="356"/>
      <c r="E95" s="359"/>
      <c r="F95" s="362"/>
      <c r="G95" s="344"/>
      <c r="H95" s="213" t="s">
        <v>364</v>
      </c>
      <c r="I95" s="214">
        <v>0.5</v>
      </c>
      <c r="J95" s="215" t="e">
        <f>+IF($K$91&gt;0,+$K$91-SUM(J91:J94),"")</f>
        <v>#VALUE!</v>
      </c>
      <c r="K95" s="347"/>
      <c r="L95" s="202"/>
    </row>
    <row r="96" spans="1:12" ht="15.75" thickBot="1" x14ac:dyDescent="0.3">
      <c r="A96" s="147" t="str">
        <f>+'Anx I pg 1 oferta'!$B$18&amp;"T3_L09_inst_"&amp;B96&amp;"DA1"</f>
        <v>T3_L09_inst_L09-05DA1</v>
      </c>
      <c r="B96" s="348" t="s">
        <v>349</v>
      </c>
      <c r="C96" s="351" t="str">
        <f>+VLOOKUP(B96,'DATOS CENTROS'!B:E,2,FALSE)</f>
        <v>Calle  San Martín 1   38001</v>
      </c>
      <c r="D96" s="354" t="str">
        <f>+VLOOKUP(B96,'DATOS CENTROS'!B:E,3,FALSE)</f>
        <v>C</v>
      </c>
      <c r="E96" s="357" t="str">
        <f>+VLOOKUP(B96,'DATOS CENTROS'!B:E,4,FALSE)</f>
        <v>C.T. RNE Tenerife</v>
      </c>
      <c r="F96" s="360">
        <f>+VLOOKUP(B96,'DATOS CENTROS'!B:F,5,FALSE)</f>
        <v>4.9000000000000002E-2</v>
      </c>
      <c r="G96" s="342" t="str">
        <f>+IF(G37&gt;0,G37,"")</f>
        <v/>
      </c>
      <c r="H96" s="213" t="s">
        <v>25</v>
      </c>
      <c r="I96" s="214">
        <v>0.15</v>
      </c>
      <c r="J96" s="215" t="e">
        <f>+IF($K$96&gt;0,+ROUND($K$96*I96,0),"")</f>
        <v>#VALUE!</v>
      </c>
      <c r="K96" s="345" t="str">
        <f>+IFERROR(IF(OR($G$18=0,LEN($G$18)=0),"",IF(AND(M37="ok",(H37/H37)=1),N37,"")),"¿?")</f>
        <v/>
      </c>
      <c r="L96" s="202"/>
    </row>
    <row r="97" spans="1:12" ht="15.75" thickBot="1" x14ac:dyDescent="0.3">
      <c r="A97" s="147" t="str">
        <f>+'Anx I pg 1 oferta'!$B$18&amp;"T3_L09_inst_"&amp;B96&amp;"DA2"</f>
        <v>T3_L09_inst_L09-05DA2</v>
      </c>
      <c r="B97" s="349"/>
      <c r="C97" s="352"/>
      <c r="D97" s="355"/>
      <c r="E97" s="358"/>
      <c r="F97" s="361"/>
      <c r="G97" s="343"/>
      <c r="H97" s="213" t="s">
        <v>26</v>
      </c>
      <c r="I97" s="214">
        <v>0.1</v>
      </c>
      <c r="J97" s="215" t="e">
        <f t="shared" ref="J97:J99" si="4">+IF($K$96&gt;0,+ROUND($K$96*I97,0),"")</f>
        <v>#VALUE!</v>
      </c>
      <c r="K97" s="346"/>
      <c r="L97" s="202"/>
    </row>
    <row r="98" spans="1:12" ht="15.75" thickBot="1" x14ac:dyDescent="0.3">
      <c r="A98" s="147" t="str">
        <f>+'Anx I pg 1 oferta'!$B$18&amp;"T3_L09_inst_"&amp;B96&amp;"DA3"</f>
        <v>T3_L09_inst_L09-05DA3</v>
      </c>
      <c r="B98" s="349"/>
      <c r="C98" s="352"/>
      <c r="D98" s="355"/>
      <c r="E98" s="358"/>
      <c r="F98" s="361"/>
      <c r="G98" s="343"/>
      <c r="H98" s="213" t="s">
        <v>27</v>
      </c>
      <c r="I98" s="214">
        <v>0.2</v>
      </c>
      <c r="J98" s="215" t="e">
        <f t="shared" si="4"/>
        <v>#VALUE!</v>
      </c>
      <c r="K98" s="346"/>
      <c r="L98" s="202"/>
    </row>
    <row r="99" spans="1:12" ht="15.75" thickBot="1" x14ac:dyDescent="0.3">
      <c r="A99" s="147" t="str">
        <f>+'Anx I pg 1 oferta'!$B$18&amp;"T3_L09_inst_"&amp;B96&amp;"DA4"</f>
        <v>T3_L09_inst_L09-05DA4</v>
      </c>
      <c r="B99" s="349"/>
      <c r="C99" s="352"/>
      <c r="D99" s="355"/>
      <c r="E99" s="358"/>
      <c r="F99" s="361"/>
      <c r="G99" s="343"/>
      <c r="H99" s="213" t="s">
        <v>57</v>
      </c>
      <c r="I99" s="214">
        <v>0.05</v>
      </c>
      <c r="J99" s="215" t="e">
        <f t="shared" si="4"/>
        <v>#VALUE!</v>
      </c>
      <c r="K99" s="346"/>
      <c r="L99" s="202"/>
    </row>
    <row r="100" spans="1:12" ht="15.75" thickBot="1" x14ac:dyDescent="0.3">
      <c r="A100" s="147" t="str">
        <f>+'Anx I pg 1 oferta'!$B$18&amp;"T3_L09_inst_"&amp;B96&amp;"DA5"</f>
        <v>T3_L09_inst_L09-05DA5</v>
      </c>
      <c r="B100" s="350"/>
      <c r="C100" s="353"/>
      <c r="D100" s="356"/>
      <c r="E100" s="359"/>
      <c r="F100" s="362"/>
      <c r="G100" s="344"/>
      <c r="H100" s="213" t="s">
        <v>364</v>
      </c>
      <c r="I100" s="214">
        <v>0.5</v>
      </c>
      <c r="J100" s="215" t="e">
        <f>+IF($K$96&gt;0,+$K$96-SUM(J96:J99),"")</f>
        <v>#VALUE!</v>
      </c>
      <c r="K100" s="347"/>
      <c r="L100" s="202"/>
    </row>
    <row r="101" spans="1:12" ht="15.75" hidden="1" thickBot="1" x14ac:dyDescent="0.3">
      <c r="A101" s="147" t="s">
        <v>544</v>
      </c>
      <c r="B101" s="348"/>
      <c r="C101" s="351"/>
      <c r="D101" s="354"/>
      <c r="E101" s="357"/>
      <c r="F101" s="360"/>
      <c r="G101" s="342"/>
      <c r="H101" s="213"/>
      <c r="I101" s="214"/>
      <c r="J101" s="215"/>
      <c r="K101" s="345"/>
      <c r="L101" s="202"/>
    </row>
    <row r="102" spans="1:12" ht="15.75" hidden="1" thickBot="1" x14ac:dyDescent="0.3">
      <c r="A102" s="147" t="s">
        <v>544</v>
      </c>
      <c r="B102" s="349"/>
      <c r="C102" s="352"/>
      <c r="D102" s="355"/>
      <c r="E102" s="358"/>
      <c r="F102" s="361"/>
      <c r="G102" s="343"/>
      <c r="H102" s="213"/>
      <c r="I102" s="214"/>
      <c r="J102" s="215"/>
      <c r="K102" s="346"/>
      <c r="L102" s="202"/>
    </row>
    <row r="103" spans="1:12" ht="15.75" hidden="1" thickBot="1" x14ac:dyDescent="0.3">
      <c r="A103" s="147" t="s">
        <v>544</v>
      </c>
      <c r="B103" s="349"/>
      <c r="C103" s="352"/>
      <c r="D103" s="355"/>
      <c r="E103" s="358"/>
      <c r="F103" s="361"/>
      <c r="G103" s="343"/>
      <c r="H103" s="213"/>
      <c r="I103" s="214"/>
      <c r="J103" s="215"/>
      <c r="K103" s="346"/>
      <c r="L103" s="202"/>
    </row>
    <row r="104" spans="1:12" ht="15.75" hidden="1" thickBot="1" x14ac:dyDescent="0.3">
      <c r="A104" s="147" t="s">
        <v>544</v>
      </c>
      <c r="B104" s="349"/>
      <c r="C104" s="352"/>
      <c r="D104" s="355"/>
      <c r="E104" s="358"/>
      <c r="F104" s="361"/>
      <c r="G104" s="343"/>
      <c r="H104" s="213"/>
      <c r="I104" s="214"/>
      <c r="J104" s="215"/>
      <c r="K104" s="346"/>
      <c r="L104" s="202"/>
    </row>
    <row r="105" spans="1:12" ht="15.75" hidden="1" thickBot="1" x14ac:dyDescent="0.3">
      <c r="A105" s="147" t="s">
        <v>544</v>
      </c>
      <c r="B105" s="350"/>
      <c r="C105" s="353"/>
      <c r="D105" s="356"/>
      <c r="E105" s="359"/>
      <c r="F105" s="362"/>
      <c r="G105" s="344"/>
      <c r="H105" s="213"/>
      <c r="I105" s="214"/>
      <c r="J105" s="215"/>
      <c r="K105" s="347"/>
      <c r="L105" s="202"/>
    </row>
    <row r="106" spans="1:12" ht="15.75" hidden="1" customHeight="1" thickBot="1" x14ac:dyDescent="0.3">
      <c r="A106" s="147" t="s">
        <v>544</v>
      </c>
      <c r="B106" s="348"/>
      <c r="C106" s="351"/>
      <c r="D106" s="354"/>
      <c r="E106" s="357"/>
      <c r="F106" s="360"/>
      <c r="G106" s="342"/>
      <c r="H106" s="213"/>
      <c r="I106" s="214"/>
      <c r="J106" s="215"/>
      <c r="K106" s="345"/>
      <c r="L106" s="202"/>
    </row>
    <row r="107" spans="1:12" ht="15.75" hidden="1" thickBot="1" x14ac:dyDescent="0.3">
      <c r="A107" s="147" t="s">
        <v>544</v>
      </c>
      <c r="B107" s="349"/>
      <c r="C107" s="352"/>
      <c r="D107" s="355"/>
      <c r="E107" s="358"/>
      <c r="F107" s="361"/>
      <c r="G107" s="343"/>
      <c r="H107" s="213"/>
      <c r="I107" s="214"/>
      <c r="J107" s="215"/>
      <c r="K107" s="346"/>
      <c r="L107" s="202"/>
    </row>
    <row r="108" spans="1:12" ht="15.75" hidden="1" thickBot="1" x14ac:dyDescent="0.3">
      <c r="A108" s="147" t="s">
        <v>544</v>
      </c>
      <c r="B108" s="349"/>
      <c r="C108" s="352"/>
      <c r="D108" s="355"/>
      <c r="E108" s="358"/>
      <c r="F108" s="361"/>
      <c r="G108" s="343"/>
      <c r="H108" s="213"/>
      <c r="I108" s="214"/>
      <c r="J108" s="215"/>
      <c r="K108" s="346"/>
      <c r="L108" s="202"/>
    </row>
    <row r="109" spans="1:12" ht="15.75" hidden="1" thickBot="1" x14ac:dyDescent="0.3">
      <c r="A109" s="147" t="s">
        <v>544</v>
      </c>
      <c r="B109" s="349"/>
      <c r="C109" s="352"/>
      <c r="D109" s="355"/>
      <c r="E109" s="358"/>
      <c r="F109" s="361"/>
      <c r="G109" s="343"/>
      <c r="H109" s="213"/>
      <c r="I109" s="214"/>
      <c r="J109" s="215"/>
      <c r="K109" s="346"/>
      <c r="L109" s="202"/>
    </row>
    <row r="110" spans="1:12" ht="15.75" hidden="1" thickBot="1" x14ac:dyDescent="0.3">
      <c r="A110" s="147" t="s">
        <v>544</v>
      </c>
      <c r="B110" s="350"/>
      <c r="C110" s="353"/>
      <c r="D110" s="356"/>
      <c r="E110" s="359"/>
      <c r="F110" s="362"/>
      <c r="G110" s="344"/>
      <c r="H110" s="213"/>
      <c r="I110" s="214"/>
      <c r="J110" s="215"/>
      <c r="K110" s="347"/>
      <c r="L110" s="202"/>
    </row>
    <row r="111" spans="1:12" ht="15.75" hidden="1" thickBot="1" x14ac:dyDescent="0.3">
      <c r="A111" s="147" t="s">
        <v>544</v>
      </c>
      <c r="B111" s="348"/>
      <c r="C111" s="351"/>
      <c r="D111" s="354"/>
      <c r="E111" s="357"/>
      <c r="F111" s="360"/>
      <c r="G111" s="342"/>
      <c r="H111" s="213"/>
      <c r="I111" s="214"/>
      <c r="J111" s="215"/>
      <c r="K111" s="345"/>
      <c r="L111" s="202"/>
    </row>
    <row r="112" spans="1:12" ht="15.75" hidden="1" thickBot="1" x14ac:dyDescent="0.3">
      <c r="A112" s="147" t="s">
        <v>544</v>
      </c>
      <c r="B112" s="349"/>
      <c r="C112" s="352"/>
      <c r="D112" s="355"/>
      <c r="E112" s="358"/>
      <c r="F112" s="361"/>
      <c r="G112" s="343"/>
      <c r="H112" s="213"/>
      <c r="I112" s="214"/>
      <c r="J112" s="215"/>
      <c r="K112" s="346"/>
      <c r="L112" s="202"/>
    </row>
    <row r="113" spans="1:12" ht="15.75" hidden="1" thickBot="1" x14ac:dyDescent="0.3">
      <c r="A113" s="147" t="s">
        <v>544</v>
      </c>
      <c r="B113" s="349"/>
      <c r="C113" s="352"/>
      <c r="D113" s="355"/>
      <c r="E113" s="358"/>
      <c r="F113" s="361"/>
      <c r="G113" s="343"/>
      <c r="H113" s="213"/>
      <c r="I113" s="214"/>
      <c r="J113" s="215"/>
      <c r="K113" s="346"/>
      <c r="L113" s="202"/>
    </row>
    <row r="114" spans="1:12" ht="15.75" hidden="1" thickBot="1" x14ac:dyDescent="0.3">
      <c r="A114" s="147" t="s">
        <v>544</v>
      </c>
      <c r="B114" s="349"/>
      <c r="C114" s="352"/>
      <c r="D114" s="355"/>
      <c r="E114" s="358"/>
      <c r="F114" s="361"/>
      <c r="G114" s="343"/>
      <c r="H114" s="213"/>
      <c r="I114" s="214"/>
      <c r="J114" s="215"/>
      <c r="K114" s="346"/>
      <c r="L114" s="202"/>
    </row>
    <row r="115" spans="1:12" ht="15.75" hidden="1" thickBot="1" x14ac:dyDescent="0.3">
      <c r="A115" s="147" t="s">
        <v>544</v>
      </c>
      <c r="B115" s="350"/>
      <c r="C115" s="353"/>
      <c r="D115" s="356"/>
      <c r="E115" s="359"/>
      <c r="F115" s="362"/>
      <c r="G115" s="344"/>
      <c r="H115" s="213"/>
      <c r="I115" s="214"/>
      <c r="J115" s="215"/>
      <c r="K115" s="347"/>
      <c r="L115" s="202"/>
    </row>
    <row r="116" spans="1:12" ht="15.75" hidden="1" thickBot="1" x14ac:dyDescent="0.3">
      <c r="A116" s="147" t="s">
        <v>544</v>
      </c>
      <c r="B116" s="348"/>
      <c r="C116" s="351"/>
      <c r="D116" s="354"/>
      <c r="E116" s="357"/>
      <c r="F116" s="360"/>
      <c r="G116" s="342"/>
      <c r="H116" s="213"/>
      <c r="I116" s="214"/>
      <c r="J116" s="215"/>
      <c r="K116" s="345"/>
      <c r="L116" s="202"/>
    </row>
    <row r="117" spans="1:12" ht="15.75" hidden="1" thickBot="1" x14ac:dyDescent="0.3">
      <c r="A117" s="147" t="s">
        <v>544</v>
      </c>
      <c r="B117" s="349"/>
      <c r="C117" s="352"/>
      <c r="D117" s="355"/>
      <c r="E117" s="358"/>
      <c r="F117" s="361"/>
      <c r="G117" s="343"/>
      <c r="H117" s="213"/>
      <c r="I117" s="214"/>
      <c r="J117" s="215"/>
      <c r="K117" s="346"/>
      <c r="L117" s="202"/>
    </row>
    <row r="118" spans="1:12" ht="15.75" hidden="1" thickBot="1" x14ac:dyDescent="0.3">
      <c r="A118" s="147" t="s">
        <v>544</v>
      </c>
      <c r="B118" s="349"/>
      <c r="C118" s="352"/>
      <c r="D118" s="355"/>
      <c r="E118" s="358"/>
      <c r="F118" s="361"/>
      <c r="G118" s="343"/>
      <c r="H118" s="213"/>
      <c r="I118" s="214"/>
      <c r="J118" s="215"/>
      <c r="K118" s="346"/>
      <c r="L118" s="202"/>
    </row>
    <row r="119" spans="1:12" ht="15.75" hidden="1" thickBot="1" x14ac:dyDescent="0.3">
      <c r="A119" s="147" t="s">
        <v>544</v>
      </c>
      <c r="B119" s="349"/>
      <c r="C119" s="352"/>
      <c r="D119" s="355"/>
      <c r="E119" s="358"/>
      <c r="F119" s="361"/>
      <c r="G119" s="343"/>
      <c r="H119" s="213"/>
      <c r="I119" s="214"/>
      <c r="J119" s="215"/>
      <c r="K119" s="346"/>
      <c r="L119" s="202"/>
    </row>
    <row r="120" spans="1:12" ht="15.75" hidden="1" thickBot="1" x14ac:dyDescent="0.3">
      <c r="A120" s="147" t="s">
        <v>544</v>
      </c>
      <c r="B120" s="350"/>
      <c r="C120" s="353"/>
      <c r="D120" s="356"/>
      <c r="E120" s="359"/>
      <c r="F120" s="362"/>
      <c r="G120" s="344"/>
      <c r="H120" s="213"/>
      <c r="I120" s="214"/>
      <c r="J120" s="215"/>
      <c r="K120" s="347"/>
      <c r="L120" s="202"/>
    </row>
    <row r="121" spans="1:12" ht="15.75" hidden="1" thickBot="1" x14ac:dyDescent="0.3">
      <c r="A121" s="147" t="s">
        <v>544</v>
      </c>
      <c r="B121" s="348"/>
      <c r="C121" s="351"/>
      <c r="D121" s="354"/>
      <c r="E121" s="357"/>
      <c r="F121" s="360"/>
      <c r="G121" s="342"/>
      <c r="H121" s="213"/>
      <c r="I121" s="214"/>
      <c r="J121" s="215"/>
      <c r="K121" s="345"/>
      <c r="L121" s="202"/>
    </row>
    <row r="122" spans="1:12" ht="15.75" hidden="1" thickBot="1" x14ac:dyDescent="0.3">
      <c r="A122" s="147" t="s">
        <v>544</v>
      </c>
      <c r="B122" s="349"/>
      <c r="C122" s="352"/>
      <c r="D122" s="355"/>
      <c r="E122" s="358"/>
      <c r="F122" s="361"/>
      <c r="G122" s="343"/>
      <c r="H122" s="213"/>
      <c r="I122" s="214"/>
      <c r="J122" s="215"/>
      <c r="K122" s="346"/>
      <c r="L122" s="202"/>
    </row>
    <row r="123" spans="1:12" ht="15.75" hidden="1" thickBot="1" x14ac:dyDescent="0.3">
      <c r="A123" s="147" t="s">
        <v>544</v>
      </c>
      <c r="B123" s="349"/>
      <c r="C123" s="352"/>
      <c r="D123" s="355"/>
      <c r="E123" s="358"/>
      <c r="F123" s="361"/>
      <c r="G123" s="343"/>
      <c r="H123" s="213"/>
      <c r="I123" s="214"/>
      <c r="J123" s="215"/>
      <c r="K123" s="346"/>
      <c r="L123" s="202"/>
    </row>
    <row r="124" spans="1:12" ht="15.75" hidden="1" thickBot="1" x14ac:dyDescent="0.3">
      <c r="A124" s="147" t="s">
        <v>544</v>
      </c>
      <c r="B124" s="349"/>
      <c r="C124" s="352"/>
      <c r="D124" s="355"/>
      <c r="E124" s="358"/>
      <c r="F124" s="361"/>
      <c r="G124" s="343"/>
      <c r="H124" s="213"/>
      <c r="I124" s="214"/>
      <c r="J124" s="215"/>
      <c r="K124" s="346"/>
      <c r="L124" s="202"/>
    </row>
    <row r="125" spans="1:12" ht="15.75" hidden="1" thickBot="1" x14ac:dyDescent="0.3">
      <c r="A125" s="147" t="s">
        <v>544</v>
      </c>
      <c r="B125" s="350"/>
      <c r="C125" s="353"/>
      <c r="D125" s="356"/>
      <c r="E125" s="359"/>
      <c r="F125" s="362"/>
      <c r="G125" s="344"/>
      <c r="H125" s="213"/>
      <c r="I125" s="214"/>
      <c r="J125" s="215"/>
      <c r="K125" s="347"/>
      <c r="L125" s="202"/>
    </row>
    <row r="126" spans="1:12" ht="15.75" hidden="1" thickBot="1" x14ac:dyDescent="0.3">
      <c r="A126" s="147" t="s">
        <v>544</v>
      </c>
      <c r="B126" s="348"/>
      <c r="C126" s="351"/>
      <c r="D126" s="354"/>
      <c r="E126" s="357"/>
      <c r="F126" s="360"/>
      <c r="G126" s="342"/>
      <c r="H126" s="213"/>
      <c r="I126" s="214"/>
      <c r="J126" s="215"/>
      <c r="K126" s="345"/>
      <c r="L126" s="202"/>
    </row>
    <row r="127" spans="1:12" ht="15.75" hidden="1" thickBot="1" x14ac:dyDescent="0.3">
      <c r="A127" s="147" t="s">
        <v>544</v>
      </c>
      <c r="B127" s="349"/>
      <c r="C127" s="352"/>
      <c r="D127" s="355"/>
      <c r="E127" s="358"/>
      <c r="F127" s="361"/>
      <c r="G127" s="343"/>
      <c r="H127" s="213"/>
      <c r="I127" s="214"/>
      <c r="J127" s="215"/>
      <c r="K127" s="346"/>
      <c r="L127" s="202"/>
    </row>
    <row r="128" spans="1:12" ht="15.75" hidden="1" thickBot="1" x14ac:dyDescent="0.3">
      <c r="A128" s="147" t="s">
        <v>544</v>
      </c>
      <c r="B128" s="349"/>
      <c r="C128" s="352"/>
      <c r="D128" s="355"/>
      <c r="E128" s="358"/>
      <c r="F128" s="361"/>
      <c r="G128" s="343"/>
      <c r="H128" s="213"/>
      <c r="I128" s="214"/>
      <c r="J128" s="215"/>
      <c r="K128" s="346"/>
      <c r="L128" s="202"/>
    </row>
    <row r="129" spans="1:12" ht="15.75" hidden="1" thickBot="1" x14ac:dyDescent="0.3">
      <c r="A129" s="147" t="s">
        <v>544</v>
      </c>
      <c r="B129" s="349"/>
      <c r="C129" s="352"/>
      <c r="D129" s="355"/>
      <c r="E129" s="358"/>
      <c r="F129" s="361"/>
      <c r="G129" s="343"/>
      <c r="H129" s="213"/>
      <c r="I129" s="214"/>
      <c r="J129" s="215"/>
      <c r="K129" s="346"/>
      <c r="L129" s="202"/>
    </row>
    <row r="130" spans="1:12" ht="15.75" hidden="1" thickBot="1" x14ac:dyDescent="0.3">
      <c r="A130" s="147" t="s">
        <v>544</v>
      </c>
      <c r="B130" s="350"/>
      <c r="C130" s="353"/>
      <c r="D130" s="356"/>
      <c r="E130" s="359"/>
      <c r="F130" s="362"/>
      <c r="G130" s="344"/>
      <c r="H130" s="213"/>
      <c r="I130" s="214"/>
      <c r="J130" s="215"/>
      <c r="K130" s="347"/>
      <c r="L130" s="202"/>
    </row>
    <row r="131" spans="1:12" ht="15.75" hidden="1" customHeight="1" thickBot="1" x14ac:dyDescent="0.3">
      <c r="A131" s="147" t="s">
        <v>544</v>
      </c>
      <c r="B131" s="348"/>
      <c r="C131" s="351"/>
      <c r="D131" s="354"/>
      <c r="E131" s="357"/>
      <c r="F131" s="360"/>
      <c r="G131" s="342"/>
      <c r="H131" s="213"/>
      <c r="I131" s="214"/>
      <c r="J131" s="215"/>
      <c r="K131" s="345"/>
      <c r="L131" s="202"/>
    </row>
    <row r="132" spans="1:12" ht="15.75" hidden="1" thickBot="1" x14ac:dyDescent="0.3">
      <c r="A132" s="147" t="s">
        <v>544</v>
      </c>
      <c r="B132" s="349"/>
      <c r="C132" s="352"/>
      <c r="D132" s="355"/>
      <c r="E132" s="358"/>
      <c r="F132" s="361"/>
      <c r="G132" s="343"/>
      <c r="H132" s="213"/>
      <c r="I132" s="214"/>
      <c r="J132" s="215"/>
      <c r="K132" s="346"/>
      <c r="L132" s="202"/>
    </row>
    <row r="133" spans="1:12" ht="15.75" hidden="1" thickBot="1" x14ac:dyDescent="0.3">
      <c r="A133" s="147" t="s">
        <v>544</v>
      </c>
      <c r="B133" s="349"/>
      <c r="C133" s="352"/>
      <c r="D133" s="355"/>
      <c r="E133" s="358"/>
      <c r="F133" s="361"/>
      <c r="G133" s="343"/>
      <c r="H133" s="213"/>
      <c r="I133" s="214"/>
      <c r="J133" s="215"/>
      <c r="K133" s="346"/>
      <c r="L133" s="202"/>
    </row>
    <row r="134" spans="1:12" ht="15.75" hidden="1" thickBot="1" x14ac:dyDescent="0.3">
      <c r="A134" s="147" t="s">
        <v>544</v>
      </c>
      <c r="B134" s="349"/>
      <c r="C134" s="352"/>
      <c r="D134" s="355"/>
      <c r="E134" s="358"/>
      <c r="F134" s="361"/>
      <c r="G134" s="343"/>
      <c r="H134" s="213"/>
      <c r="I134" s="214"/>
      <c r="J134" s="215"/>
      <c r="K134" s="346"/>
      <c r="L134" s="202"/>
    </row>
    <row r="135" spans="1:12" ht="15.75" hidden="1" thickBot="1" x14ac:dyDescent="0.3">
      <c r="A135" s="147" t="s">
        <v>544</v>
      </c>
      <c r="B135" s="350"/>
      <c r="C135" s="353"/>
      <c r="D135" s="356"/>
      <c r="E135" s="359"/>
      <c r="F135" s="362"/>
      <c r="G135" s="344"/>
      <c r="H135" s="213"/>
      <c r="I135" s="214"/>
      <c r="J135" s="215"/>
      <c r="K135" s="347"/>
      <c r="L135" s="202"/>
    </row>
    <row r="136" spans="1:12" ht="15.75" hidden="1" thickBot="1" x14ac:dyDescent="0.3">
      <c r="A136" s="147" t="s">
        <v>544</v>
      </c>
      <c r="B136" s="348"/>
      <c r="C136" s="351"/>
      <c r="D136" s="354"/>
      <c r="E136" s="357"/>
      <c r="F136" s="360"/>
      <c r="G136" s="342"/>
      <c r="H136" s="213"/>
      <c r="I136" s="214"/>
      <c r="J136" s="215"/>
      <c r="K136" s="345"/>
      <c r="L136" s="202"/>
    </row>
    <row r="137" spans="1:12" ht="15.75" hidden="1" thickBot="1" x14ac:dyDescent="0.3">
      <c r="A137" s="147" t="s">
        <v>544</v>
      </c>
      <c r="B137" s="349"/>
      <c r="C137" s="352"/>
      <c r="D137" s="355"/>
      <c r="E137" s="358"/>
      <c r="F137" s="361"/>
      <c r="G137" s="343"/>
      <c r="H137" s="213"/>
      <c r="I137" s="214"/>
      <c r="J137" s="215"/>
      <c r="K137" s="346"/>
      <c r="L137" s="202"/>
    </row>
    <row r="138" spans="1:12" ht="15.75" hidden="1" thickBot="1" x14ac:dyDescent="0.3">
      <c r="A138" s="147" t="s">
        <v>544</v>
      </c>
      <c r="B138" s="349"/>
      <c r="C138" s="352"/>
      <c r="D138" s="355"/>
      <c r="E138" s="358"/>
      <c r="F138" s="361"/>
      <c r="G138" s="343"/>
      <c r="H138" s="213"/>
      <c r="I138" s="214"/>
      <c r="J138" s="215"/>
      <c r="K138" s="346"/>
      <c r="L138" s="202"/>
    </row>
    <row r="139" spans="1:12" ht="15.75" hidden="1" thickBot="1" x14ac:dyDescent="0.3">
      <c r="A139" s="147" t="s">
        <v>544</v>
      </c>
      <c r="B139" s="349"/>
      <c r="C139" s="352"/>
      <c r="D139" s="355"/>
      <c r="E139" s="358"/>
      <c r="F139" s="361"/>
      <c r="G139" s="343"/>
      <c r="H139" s="213"/>
      <c r="I139" s="214"/>
      <c r="J139" s="215"/>
      <c r="K139" s="346"/>
      <c r="L139" s="202"/>
    </row>
    <row r="140" spans="1:12" ht="15.75" hidden="1" thickBot="1" x14ac:dyDescent="0.3">
      <c r="A140" s="147" t="s">
        <v>544</v>
      </c>
      <c r="B140" s="350"/>
      <c r="C140" s="353"/>
      <c r="D140" s="356"/>
      <c r="E140" s="359"/>
      <c r="F140" s="362"/>
      <c r="G140" s="344"/>
      <c r="H140" s="213"/>
      <c r="I140" s="214"/>
      <c r="J140" s="215"/>
      <c r="K140" s="347"/>
      <c r="L140" s="202"/>
    </row>
    <row r="141" spans="1:12" ht="15.75" hidden="1" thickBot="1" x14ac:dyDescent="0.3">
      <c r="A141" s="147" t="s">
        <v>544</v>
      </c>
      <c r="B141" s="348"/>
      <c r="C141" s="351"/>
      <c r="D141" s="354"/>
      <c r="E141" s="357"/>
      <c r="F141" s="360"/>
      <c r="G141" s="342"/>
      <c r="H141" s="213"/>
      <c r="I141" s="214"/>
      <c r="J141" s="215"/>
      <c r="K141" s="345"/>
      <c r="L141" s="202"/>
    </row>
    <row r="142" spans="1:12" ht="15.75" hidden="1" thickBot="1" x14ac:dyDescent="0.3">
      <c r="A142" s="147" t="s">
        <v>544</v>
      </c>
      <c r="B142" s="349"/>
      <c r="C142" s="352"/>
      <c r="D142" s="355"/>
      <c r="E142" s="358"/>
      <c r="F142" s="361"/>
      <c r="G142" s="343"/>
      <c r="H142" s="213"/>
      <c r="I142" s="214"/>
      <c r="J142" s="215"/>
      <c r="K142" s="346"/>
      <c r="L142" s="202"/>
    </row>
    <row r="143" spans="1:12" ht="15.75" hidden="1" thickBot="1" x14ac:dyDescent="0.3">
      <c r="A143" s="147" t="s">
        <v>544</v>
      </c>
      <c r="B143" s="349"/>
      <c r="C143" s="352"/>
      <c r="D143" s="355"/>
      <c r="E143" s="358"/>
      <c r="F143" s="361"/>
      <c r="G143" s="343"/>
      <c r="H143" s="213"/>
      <c r="I143" s="214"/>
      <c r="J143" s="215"/>
      <c r="K143" s="346"/>
      <c r="L143" s="202"/>
    </row>
    <row r="144" spans="1:12" ht="15.75" hidden="1" thickBot="1" x14ac:dyDescent="0.3">
      <c r="A144" s="147" t="s">
        <v>544</v>
      </c>
      <c r="B144" s="349"/>
      <c r="C144" s="352"/>
      <c r="D144" s="355"/>
      <c r="E144" s="358"/>
      <c r="F144" s="361"/>
      <c r="G144" s="343"/>
      <c r="H144" s="213"/>
      <c r="I144" s="214"/>
      <c r="J144" s="215"/>
      <c r="K144" s="346"/>
      <c r="L144" s="202"/>
    </row>
    <row r="145" spans="1:12" ht="15.75" hidden="1" thickBot="1" x14ac:dyDescent="0.3">
      <c r="A145" s="147" t="s">
        <v>544</v>
      </c>
      <c r="B145" s="350"/>
      <c r="C145" s="353"/>
      <c r="D145" s="356"/>
      <c r="E145" s="359"/>
      <c r="F145" s="362"/>
      <c r="G145" s="344"/>
      <c r="H145" s="213"/>
      <c r="I145" s="214"/>
      <c r="J145" s="215"/>
      <c r="K145" s="347"/>
      <c r="L145" s="202"/>
    </row>
    <row r="146" spans="1:12" ht="15.75" hidden="1" thickBot="1" x14ac:dyDescent="0.3">
      <c r="A146" s="147" t="s">
        <v>544</v>
      </c>
      <c r="B146" s="348"/>
      <c r="C146" s="351"/>
      <c r="D146" s="354"/>
      <c r="E146" s="357"/>
      <c r="F146" s="360"/>
      <c r="G146" s="342"/>
      <c r="H146" s="213"/>
      <c r="I146" s="214"/>
      <c r="J146" s="215"/>
      <c r="K146" s="345"/>
      <c r="L146" s="202"/>
    </row>
    <row r="147" spans="1:12" ht="15.75" hidden="1" thickBot="1" x14ac:dyDescent="0.3">
      <c r="A147" s="147" t="s">
        <v>544</v>
      </c>
      <c r="B147" s="349"/>
      <c r="C147" s="352"/>
      <c r="D147" s="355"/>
      <c r="E147" s="358"/>
      <c r="F147" s="361"/>
      <c r="G147" s="343"/>
      <c r="H147" s="213"/>
      <c r="I147" s="214"/>
      <c r="J147" s="215"/>
      <c r="K147" s="346"/>
      <c r="L147" s="202"/>
    </row>
    <row r="148" spans="1:12" ht="15.75" hidden="1" thickBot="1" x14ac:dyDescent="0.3">
      <c r="A148" s="147" t="s">
        <v>544</v>
      </c>
      <c r="B148" s="349"/>
      <c r="C148" s="352"/>
      <c r="D148" s="355"/>
      <c r="E148" s="358"/>
      <c r="F148" s="361"/>
      <c r="G148" s="343"/>
      <c r="H148" s="213"/>
      <c r="I148" s="214"/>
      <c r="J148" s="215"/>
      <c r="K148" s="346"/>
      <c r="L148" s="202"/>
    </row>
    <row r="149" spans="1:12" ht="15.75" hidden="1" thickBot="1" x14ac:dyDescent="0.3">
      <c r="A149" s="147" t="s">
        <v>544</v>
      </c>
      <c r="B149" s="349"/>
      <c r="C149" s="352"/>
      <c r="D149" s="355"/>
      <c r="E149" s="358"/>
      <c r="F149" s="361"/>
      <c r="G149" s="343"/>
      <c r="H149" s="213"/>
      <c r="I149" s="214"/>
      <c r="J149" s="215"/>
      <c r="K149" s="346"/>
      <c r="L149" s="202"/>
    </row>
    <row r="150" spans="1:12" ht="15.75" hidden="1" thickBot="1" x14ac:dyDescent="0.3">
      <c r="A150" s="147" t="s">
        <v>544</v>
      </c>
      <c r="B150" s="350"/>
      <c r="C150" s="353"/>
      <c r="D150" s="356"/>
      <c r="E150" s="359"/>
      <c r="F150" s="362"/>
      <c r="G150" s="344"/>
      <c r="H150" s="213"/>
      <c r="I150" s="214"/>
      <c r="J150" s="215"/>
      <c r="K150" s="347"/>
      <c r="L150" s="202"/>
    </row>
    <row r="151" spans="1:12" ht="15.75" hidden="1" thickBot="1" x14ac:dyDescent="0.3">
      <c r="A151" s="147" t="s">
        <v>544</v>
      </c>
      <c r="B151" s="348"/>
      <c r="C151" s="351"/>
      <c r="D151" s="354"/>
      <c r="E151" s="357"/>
      <c r="F151" s="360"/>
      <c r="G151" s="342"/>
      <c r="H151" s="213"/>
      <c r="I151" s="214"/>
      <c r="J151" s="215"/>
      <c r="K151" s="345"/>
      <c r="L151" s="202"/>
    </row>
    <row r="152" spans="1:12" ht="15.75" hidden="1" thickBot="1" x14ac:dyDescent="0.3">
      <c r="A152" s="147" t="s">
        <v>544</v>
      </c>
      <c r="B152" s="349"/>
      <c r="C152" s="352"/>
      <c r="D152" s="355"/>
      <c r="E152" s="358"/>
      <c r="F152" s="361"/>
      <c r="G152" s="343"/>
      <c r="H152" s="213"/>
      <c r="I152" s="214"/>
      <c r="J152" s="215"/>
      <c r="K152" s="346"/>
      <c r="L152" s="202"/>
    </row>
    <row r="153" spans="1:12" ht="15.75" hidden="1" thickBot="1" x14ac:dyDescent="0.3">
      <c r="A153" s="147" t="s">
        <v>544</v>
      </c>
      <c r="B153" s="349"/>
      <c r="C153" s="352"/>
      <c r="D153" s="355"/>
      <c r="E153" s="358"/>
      <c r="F153" s="361"/>
      <c r="G153" s="343"/>
      <c r="H153" s="213"/>
      <c r="I153" s="214"/>
      <c r="J153" s="215"/>
      <c r="K153" s="346"/>
      <c r="L153" s="202"/>
    </row>
    <row r="154" spans="1:12" ht="15.75" hidden="1" thickBot="1" x14ac:dyDescent="0.3">
      <c r="A154" s="147" t="s">
        <v>544</v>
      </c>
      <c r="B154" s="349"/>
      <c r="C154" s="352"/>
      <c r="D154" s="355"/>
      <c r="E154" s="358"/>
      <c r="F154" s="361"/>
      <c r="G154" s="343"/>
      <c r="H154" s="213"/>
      <c r="I154" s="214"/>
      <c r="J154" s="215"/>
      <c r="K154" s="346"/>
      <c r="L154" s="202"/>
    </row>
    <row r="155" spans="1:12" ht="15.75" hidden="1" thickBot="1" x14ac:dyDescent="0.3">
      <c r="A155" s="147" t="s">
        <v>544</v>
      </c>
      <c r="B155" s="350"/>
      <c r="C155" s="353"/>
      <c r="D155" s="356"/>
      <c r="E155" s="359"/>
      <c r="F155" s="362"/>
      <c r="G155" s="344"/>
      <c r="H155" s="213"/>
      <c r="I155" s="214"/>
      <c r="J155" s="215"/>
      <c r="K155" s="347"/>
      <c r="L155" s="202"/>
    </row>
    <row r="156" spans="1:12" ht="15.75" hidden="1" customHeight="1" thickBot="1" x14ac:dyDescent="0.3">
      <c r="A156" s="147" t="s">
        <v>544</v>
      </c>
      <c r="B156" s="348"/>
      <c r="C156" s="351"/>
      <c r="D156" s="354"/>
      <c r="E156" s="357"/>
      <c r="F156" s="360"/>
      <c r="G156" s="342"/>
      <c r="H156" s="213"/>
      <c r="I156" s="214"/>
      <c r="J156" s="215"/>
      <c r="K156" s="345"/>
      <c r="L156" s="202"/>
    </row>
    <row r="157" spans="1:12" ht="15.75" hidden="1" thickBot="1" x14ac:dyDescent="0.3">
      <c r="A157" s="147" t="s">
        <v>544</v>
      </c>
      <c r="B157" s="349"/>
      <c r="C157" s="352"/>
      <c r="D157" s="355"/>
      <c r="E157" s="358"/>
      <c r="F157" s="361"/>
      <c r="G157" s="343"/>
      <c r="H157" s="213"/>
      <c r="I157" s="214"/>
      <c r="J157" s="215"/>
      <c r="K157" s="346"/>
      <c r="L157" s="202"/>
    </row>
    <row r="158" spans="1:12" ht="15.75" hidden="1" thickBot="1" x14ac:dyDescent="0.3">
      <c r="A158" s="147" t="s">
        <v>544</v>
      </c>
      <c r="B158" s="349"/>
      <c r="C158" s="352"/>
      <c r="D158" s="355"/>
      <c r="E158" s="358"/>
      <c r="F158" s="361"/>
      <c r="G158" s="343"/>
      <c r="H158" s="213"/>
      <c r="I158" s="214"/>
      <c r="J158" s="215"/>
      <c r="K158" s="346"/>
      <c r="L158" s="202"/>
    </row>
    <row r="159" spans="1:12" ht="15.75" hidden="1" thickBot="1" x14ac:dyDescent="0.3">
      <c r="A159" s="147" t="s">
        <v>544</v>
      </c>
      <c r="B159" s="349"/>
      <c r="C159" s="352"/>
      <c r="D159" s="355"/>
      <c r="E159" s="358"/>
      <c r="F159" s="361"/>
      <c r="G159" s="343"/>
      <c r="H159" s="213"/>
      <c r="I159" s="214"/>
      <c r="J159" s="215"/>
      <c r="K159" s="346"/>
      <c r="L159" s="202"/>
    </row>
    <row r="160" spans="1:12" ht="15.75" hidden="1" thickBot="1" x14ac:dyDescent="0.3">
      <c r="A160" s="147" t="s">
        <v>544</v>
      </c>
      <c r="B160" s="350"/>
      <c r="C160" s="353"/>
      <c r="D160" s="356"/>
      <c r="E160" s="359"/>
      <c r="F160" s="362"/>
      <c r="G160" s="344"/>
      <c r="H160" s="213"/>
      <c r="I160" s="214"/>
      <c r="J160" s="215"/>
      <c r="K160" s="347"/>
      <c r="L160" s="202"/>
    </row>
    <row r="161" spans="1:12" ht="15.75" hidden="1" thickBot="1" x14ac:dyDescent="0.3">
      <c r="A161" s="147" t="s">
        <v>544</v>
      </c>
      <c r="B161" s="348"/>
      <c r="C161" s="351"/>
      <c r="D161" s="354"/>
      <c r="E161" s="357"/>
      <c r="F161" s="360"/>
      <c r="G161" s="342"/>
      <c r="H161" s="213"/>
      <c r="I161" s="214"/>
      <c r="J161" s="215"/>
      <c r="K161" s="345"/>
      <c r="L161" s="202"/>
    </row>
    <row r="162" spans="1:12" ht="15.75" hidden="1" thickBot="1" x14ac:dyDescent="0.3">
      <c r="A162" s="147" t="s">
        <v>544</v>
      </c>
      <c r="B162" s="349"/>
      <c r="C162" s="352"/>
      <c r="D162" s="355"/>
      <c r="E162" s="358"/>
      <c r="F162" s="361"/>
      <c r="G162" s="343"/>
      <c r="H162" s="213"/>
      <c r="I162" s="214"/>
      <c r="J162" s="215"/>
      <c r="K162" s="346"/>
      <c r="L162" s="202"/>
    </row>
    <row r="163" spans="1:12" ht="15.75" hidden="1" thickBot="1" x14ac:dyDescent="0.3">
      <c r="A163" s="147" t="s">
        <v>544</v>
      </c>
      <c r="B163" s="349"/>
      <c r="C163" s="352"/>
      <c r="D163" s="355"/>
      <c r="E163" s="358"/>
      <c r="F163" s="361"/>
      <c r="G163" s="343"/>
      <c r="H163" s="213"/>
      <c r="I163" s="214"/>
      <c r="J163" s="215"/>
      <c r="K163" s="346"/>
      <c r="L163" s="202"/>
    </row>
    <row r="164" spans="1:12" ht="15.75" hidden="1" thickBot="1" x14ac:dyDescent="0.3">
      <c r="A164" s="147" t="s">
        <v>544</v>
      </c>
      <c r="B164" s="349"/>
      <c r="C164" s="352"/>
      <c r="D164" s="355"/>
      <c r="E164" s="358"/>
      <c r="F164" s="361"/>
      <c r="G164" s="343"/>
      <c r="H164" s="213"/>
      <c r="I164" s="214"/>
      <c r="J164" s="215"/>
      <c r="K164" s="346"/>
      <c r="L164" s="202"/>
    </row>
    <row r="165" spans="1:12" ht="15.75" hidden="1" thickBot="1" x14ac:dyDescent="0.3">
      <c r="A165" s="147" t="s">
        <v>544</v>
      </c>
      <c r="B165" s="350"/>
      <c r="C165" s="353"/>
      <c r="D165" s="356"/>
      <c r="E165" s="359"/>
      <c r="F165" s="362"/>
      <c r="G165" s="344"/>
      <c r="H165" s="213"/>
      <c r="I165" s="214"/>
      <c r="J165" s="215"/>
      <c r="K165" s="347"/>
      <c r="L165" s="202"/>
    </row>
    <row r="166" spans="1:12" x14ac:dyDescent="0.25">
      <c r="A166" s="147" t="str">
        <f>+'Anx I pg 1 oferta'!$B$18&amp;"T3_L09_TOT"</f>
        <v>T3_L09_TOT</v>
      </c>
      <c r="B166" s="278" t="s">
        <v>390</v>
      </c>
      <c r="C166" s="122"/>
      <c r="D166" s="122"/>
      <c r="E166" s="122"/>
      <c r="F166" s="285">
        <f>SUM(F76:F165)</f>
        <v>1</v>
      </c>
      <c r="G166" s="285">
        <f>SUM(G76:G165)</f>
        <v>0</v>
      </c>
      <c r="H166" s="122"/>
      <c r="I166" s="122"/>
      <c r="J166" s="287" t="e">
        <f>SUM(J76:J165)</f>
        <v>#VALUE!</v>
      </c>
      <c r="K166" s="287">
        <f>SUM(K76:K165)</f>
        <v>0</v>
      </c>
    </row>
    <row r="167" spans="1:12" x14ac:dyDescent="0.25">
      <c r="A167" s="147" t="s">
        <v>544</v>
      </c>
      <c r="B167" s="122" t="s">
        <v>390</v>
      </c>
      <c r="C167" s="122"/>
      <c r="D167" s="122"/>
      <c r="E167" s="122"/>
      <c r="F167" s="122"/>
      <c r="G167" s="122"/>
      <c r="H167" s="122"/>
      <c r="I167" s="122"/>
      <c r="J167" s="122"/>
      <c r="K167" s="122"/>
    </row>
    <row r="168" spans="1:12" x14ac:dyDescent="0.25">
      <c r="A168" s="147" t="s">
        <v>544</v>
      </c>
      <c r="B168" s="122" t="s">
        <v>390</v>
      </c>
      <c r="C168" s="122"/>
      <c r="D168" s="122"/>
      <c r="E168" s="122"/>
      <c r="F168" s="122"/>
      <c r="G168" s="122"/>
      <c r="H168" s="122"/>
      <c r="I168" s="122"/>
      <c r="J168" s="122"/>
      <c r="K168" s="122"/>
    </row>
    <row r="169" spans="1:12" x14ac:dyDescent="0.25">
      <c r="A169" s="122" t="s">
        <v>542</v>
      </c>
      <c r="B169" s="122" t="s">
        <v>390</v>
      </c>
      <c r="C169" s="122"/>
      <c r="D169" s="122"/>
      <c r="E169" s="122"/>
      <c r="F169" s="122"/>
      <c r="G169" s="122"/>
      <c r="H169" s="122"/>
      <c r="I169" s="122" t="s">
        <v>372</v>
      </c>
      <c r="J169" s="284" t="e">
        <f>+J76+J81+J86+J91+J96+J101+J106+J111+J116+J121+J126+J131+J136+J141+J146+J151+J156+J161</f>
        <v>#VALUE!</v>
      </c>
      <c r="K169" s="122"/>
    </row>
    <row r="170" spans="1:12" x14ac:dyDescent="0.25">
      <c r="A170" s="122" t="s">
        <v>542</v>
      </c>
      <c r="B170" s="122" t="s">
        <v>390</v>
      </c>
      <c r="C170" s="122"/>
      <c r="D170" s="122"/>
      <c r="E170" s="122"/>
      <c r="F170" s="122"/>
      <c r="G170" s="122"/>
      <c r="H170" s="122"/>
      <c r="I170" s="122" t="s">
        <v>374</v>
      </c>
      <c r="J170" s="284" t="e">
        <f t="shared" ref="J170:J173" si="5">+J77+J82+J87+J92+J97+J102+J107+J112+J117+J122+J127+J132+J137+J142+J147+J152+J157+J162</f>
        <v>#VALUE!</v>
      </c>
      <c r="K170" s="122"/>
    </row>
    <row r="171" spans="1:12" x14ac:dyDescent="0.25">
      <c r="A171" s="122" t="s">
        <v>542</v>
      </c>
      <c r="B171" s="122" t="s">
        <v>390</v>
      </c>
      <c r="C171" s="122"/>
      <c r="D171" s="122"/>
      <c r="E171" s="122"/>
      <c r="F171" s="122"/>
      <c r="G171" s="122"/>
      <c r="H171" s="122"/>
      <c r="I171" s="122" t="s">
        <v>373</v>
      </c>
      <c r="J171" s="284" t="e">
        <f t="shared" si="5"/>
        <v>#VALUE!</v>
      </c>
      <c r="K171" s="122"/>
    </row>
    <row r="172" spans="1:12" x14ac:dyDescent="0.25">
      <c r="A172" s="122" t="s">
        <v>542</v>
      </c>
      <c r="B172" s="122" t="s">
        <v>390</v>
      </c>
      <c r="C172" s="122"/>
      <c r="D172" s="122"/>
      <c r="E172" s="122"/>
      <c r="F172" s="122"/>
      <c r="G172" s="122"/>
      <c r="H172" s="122"/>
      <c r="I172" s="122" t="s">
        <v>375</v>
      </c>
      <c r="J172" s="284" t="e">
        <f t="shared" si="5"/>
        <v>#VALUE!</v>
      </c>
      <c r="K172" s="122"/>
    </row>
    <row r="173" spans="1:12" x14ac:dyDescent="0.25">
      <c r="A173" s="122" t="s">
        <v>542</v>
      </c>
      <c r="B173" s="122" t="s">
        <v>390</v>
      </c>
      <c r="C173" s="122"/>
      <c r="D173" s="122"/>
      <c r="E173" s="122"/>
      <c r="F173" s="122"/>
      <c r="G173" s="122"/>
      <c r="H173" s="122"/>
      <c r="I173" s="122" t="s">
        <v>376</v>
      </c>
      <c r="J173" s="284" t="e">
        <f t="shared" si="5"/>
        <v>#VALUE!</v>
      </c>
      <c r="K173" s="122"/>
    </row>
    <row r="174" spans="1:12" x14ac:dyDescent="0.25">
      <c r="A174" s="147" t="s">
        <v>542</v>
      </c>
      <c r="B174" s="122" t="s">
        <v>390</v>
      </c>
      <c r="C174" s="122"/>
      <c r="D174" s="122"/>
      <c r="E174" s="122"/>
      <c r="F174" s="122"/>
      <c r="G174" s="122"/>
      <c r="H174" s="122"/>
      <c r="I174" s="122" t="s">
        <v>371</v>
      </c>
      <c r="J174" s="284" t="e">
        <f>SUM(J169:J173)</f>
        <v>#VALUE!</v>
      </c>
      <c r="K174" s="122"/>
    </row>
  </sheetData>
  <sheetProtection algorithmName="SHA-512" hashValue="nLojLaUrPJswyZb5Mn1T9iuEV+hB8tZa11l+WOL6zzS+MtR90FuFK00CS6ucnoAJYREAITM0g4MiGkeYQNJYUA==" saltValue="vqLnLHhNEV4phIsYJwDSFg==" spinCount="100000" sheet="1" objects="1" scenarios="1" selectLockedCells="1"/>
  <mergeCells count="135">
    <mergeCell ref="G156:G160"/>
    <mergeCell ref="K156:K160"/>
    <mergeCell ref="B161:B165"/>
    <mergeCell ref="C161:C165"/>
    <mergeCell ref="D161:D165"/>
    <mergeCell ref="E161:E165"/>
    <mergeCell ref="F161:F165"/>
    <mergeCell ref="G161:G165"/>
    <mergeCell ref="K161:K165"/>
    <mergeCell ref="B156:B160"/>
    <mergeCell ref="C156:C160"/>
    <mergeCell ref="D156:D160"/>
    <mergeCell ref="E156:E160"/>
    <mergeCell ref="F156:F160"/>
    <mergeCell ref="G146:G150"/>
    <mergeCell ref="K146:K150"/>
    <mergeCell ref="B151:B155"/>
    <mergeCell ref="C151:C155"/>
    <mergeCell ref="D151:D155"/>
    <mergeCell ref="E151:E155"/>
    <mergeCell ref="F151:F155"/>
    <mergeCell ref="G151:G155"/>
    <mergeCell ref="K151:K155"/>
    <mergeCell ref="B146:B150"/>
    <mergeCell ref="C146:C150"/>
    <mergeCell ref="D146:D150"/>
    <mergeCell ref="E146:E150"/>
    <mergeCell ref="F146:F150"/>
    <mergeCell ref="G136:G140"/>
    <mergeCell ref="K136:K140"/>
    <mergeCell ref="B141:B145"/>
    <mergeCell ref="C141:C145"/>
    <mergeCell ref="D141:D145"/>
    <mergeCell ref="E141:E145"/>
    <mergeCell ref="F141:F145"/>
    <mergeCell ref="G141:G145"/>
    <mergeCell ref="K141:K145"/>
    <mergeCell ref="B136:B140"/>
    <mergeCell ref="C136:C140"/>
    <mergeCell ref="D136:D140"/>
    <mergeCell ref="E136:E140"/>
    <mergeCell ref="F136:F140"/>
    <mergeCell ref="G126:G130"/>
    <mergeCell ref="K126:K130"/>
    <mergeCell ref="B131:B135"/>
    <mergeCell ref="C131:C135"/>
    <mergeCell ref="D131:D135"/>
    <mergeCell ref="E131:E135"/>
    <mergeCell ref="F131:F135"/>
    <mergeCell ref="G131:G135"/>
    <mergeCell ref="K131:K135"/>
    <mergeCell ref="B126:B130"/>
    <mergeCell ref="C126:C130"/>
    <mergeCell ref="D126:D130"/>
    <mergeCell ref="E126:E130"/>
    <mergeCell ref="F126:F130"/>
    <mergeCell ref="G116:G120"/>
    <mergeCell ref="K116:K120"/>
    <mergeCell ref="B121:B125"/>
    <mergeCell ref="C121:C125"/>
    <mergeCell ref="D121:D125"/>
    <mergeCell ref="E121:E125"/>
    <mergeCell ref="F121:F125"/>
    <mergeCell ref="G121:G125"/>
    <mergeCell ref="K121:K125"/>
    <mergeCell ref="B116:B120"/>
    <mergeCell ref="C116:C120"/>
    <mergeCell ref="D116:D120"/>
    <mergeCell ref="E116:E120"/>
    <mergeCell ref="F116:F120"/>
    <mergeCell ref="G106:G110"/>
    <mergeCell ref="K106:K110"/>
    <mergeCell ref="B111:B115"/>
    <mergeCell ref="C111:C115"/>
    <mergeCell ref="D111:D115"/>
    <mergeCell ref="E111:E115"/>
    <mergeCell ref="F111:F115"/>
    <mergeCell ref="G111:G115"/>
    <mergeCell ref="K111:K115"/>
    <mergeCell ref="B106:B110"/>
    <mergeCell ref="C106:C110"/>
    <mergeCell ref="D106:D110"/>
    <mergeCell ref="E106:E110"/>
    <mergeCell ref="F106:F110"/>
    <mergeCell ref="G96:G100"/>
    <mergeCell ref="K96:K100"/>
    <mergeCell ref="B101:B105"/>
    <mergeCell ref="C101:C105"/>
    <mergeCell ref="D101:D105"/>
    <mergeCell ref="E101:E105"/>
    <mergeCell ref="F101:F105"/>
    <mergeCell ref="G101:G105"/>
    <mergeCell ref="K101:K105"/>
    <mergeCell ref="B96:B100"/>
    <mergeCell ref="C96:C100"/>
    <mergeCell ref="D96:D100"/>
    <mergeCell ref="E96:E100"/>
    <mergeCell ref="F96:F100"/>
    <mergeCell ref="G86:G90"/>
    <mergeCell ref="K86:K90"/>
    <mergeCell ref="B91:B95"/>
    <mergeCell ref="C91:C95"/>
    <mergeCell ref="D91:D95"/>
    <mergeCell ref="E91:E95"/>
    <mergeCell ref="F91:F95"/>
    <mergeCell ref="G91:G95"/>
    <mergeCell ref="K91:K95"/>
    <mergeCell ref="B86:B90"/>
    <mergeCell ref="C86:C90"/>
    <mergeCell ref="D86:D90"/>
    <mergeCell ref="E86:E90"/>
    <mergeCell ref="F86:F90"/>
    <mergeCell ref="G76:G80"/>
    <mergeCell ref="K76:K80"/>
    <mergeCell ref="B81:B85"/>
    <mergeCell ref="C81:C85"/>
    <mergeCell ref="D81:D85"/>
    <mergeCell ref="E81:E85"/>
    <mergeCell ref="F81:F85"/>
    <mergeCell ref="G81:G85"/>
    <mergeCell ref="K81:K85"/>
    <mergeCell ref="B76:B80"/>
    <mergeCell ref="C76:C80"/>
    <mergeCell ref="D76:D80"/>
    <mergeCell ref="E76:E80"/>
    <mergeCell ref="F76:F80"/>
    <mergeCell ref="B8:G8"/>
    <mergeCell ref="B2:K2"/>
    <mergeCell ref="C13:F13"/>
    <mergeCell ref="C12:F12"/>
    <mergeCell ref="C14:F14"/>
    <mergeCell ref="C15:F15"/>
    <mergeCell ref="C16:F16"/>
    <mergeCell ref="C17:F17"/>
    <mergeCell ref="D20:G20"/>
  </mergeCells>
  <conditionalFormatting sqref="N33">
    <cfRule type="expression" dxfId="24" priority="10">
      <formula>"""ok"""</formula>
    </cfRule>
  </conditionalFormatting>
  <conditionalFormatting sqref="H39">
    <cfRule type="expression" dxfId="23" priority="8">
      <formula>$H$37&lt;0</formula>
    </cfRule>
    <cfRule type="expression" dxfId="22" priority="9">
      <formula>$H$37&gt;0</formula>
    </cfRule>
  </conditionalFormatting>
  <conditionalFormatting sqref="G18">
    <cfRule type="expression" dxfId="21" priority="29">
      <formula>$H$37&lt;0</formula>
    </cfRule>
  </conditionalFormatting>
  <conditionalFormatting sqref="H29 H35">
    <cfRule type="expression" dxfId="20" priority="30">
      <formula>$H$37&lt;0</formula>
    </cfRule>
    <cfRule type="expression" dxfId="19" priority="31">
      <formula>$H$37&gt;0</formula>
    </cfRule>
  </conditionalFormatting>
  <conditionalFormatting sqref="J64 N64 J29:N30 J32:N32 J34:N63">
    <cfRule type="expression" dxfId="18" priority="28">
      <formula>"""ok"""</formula>
    </cfRule>
  </conditionalFormatting>
  <conditionalFormatting sqref="H41 H43 H45">
    <cfRule type="expression" dxfId="17" priority="26">
      <formula>$H$37&lt;0</formula>
    </cfRule>
    <cfRule type="expression" dxfId="16" priority="27">
      <formula>$H$37&gt;0</formula>
    </cfRule>
  </conditionalFormatting>
  <conditionalFormatting sqref="H49 H51 H53 H55">
    <cfRule type="expression" dxfId="15" priority="24">
      <formula>$H$37&lt;0</formula>
    </cfRule>
    <cfRule type="expression" dxfId="14" priority="25">
      <formula>$H$37&gt;0</formula>
    </cfRule>
  </conditionalFormatting>
  <conditionalFormatting sqref="H59 H61 H63">
    <cfRule type="expression" dxfId="13" priority="22">
      <formula>$H$37&lt;0</formula>
    </cfRule>
    <cfRule type="expression" dxfId="12" priority="23">
      <formula>$H$37&gt;0</formula>
    </cfRule>
  </conditionalFormatting>
  <conditionalFormatting sqref="H47">
    <cfRule type="expression" dxfId="11" priority="20">
      <formula>$H$37&lt;0</formula>
    </cfRule>
    <cfRule type="expression" dxfId="10" priority="21">
      <formula>$H$37&gt;0</formula>
    </cfRule>
  </conditionalFormatting>
  <conditionalFormatting sqref="H57">
    <cfRule type="expression" dxfId="9" priority="18">
      <formula>$H$37&lt;0</formula>
    </cfRule>
    <cfRule type="expression" dxfId="8" priority="19">
      <formula>$H$37&gt;0</formula>
    </cfRule>
  </conditionalFormatting>
  <conditionalFormatting sqref="H37">
    <cfRule type="expression" dxfId="7" priority="16">
      <formula>$H$37&lt;0</formula>
    </cfRule>
    <cfRule type="expression" dxfId="6" priority="17">
      <formula>$H$37&gt;0</formula>
    </cfRule>
  </conditionalFormatting>
  <conditionalFormatting sqref="J33:L33">
    <cfRule type="expression" dxfId="5" priority="15">
      <formula>"""ok"""</formula>
    </cfRule>
  </conditionalFormatting>
  <conditionalFormatting sqref="J31:L31">
    <cfRule type="expression" dxfId="4" priority="14">
      <formula>"""ok"""</formula>
    </cfRule>
  </conditionalFormatting>
  <conditionalFormatting sqref="H33">
    <cfRule type="expression" dxfId="3" priority="12">
      <formula>$H$37&lt;0</formula>
    </cfRule>
    <cfRule type="expression" dxfId="2" priority="13">
      <formula>$H$37&gt;0</formula>
    </cfRule>
  </conditionalFormatting>
  <conditionalFormatting sqref="M31:N31">
    <cfRule type="expression" dxfId="1" priority="11">
      <formula>"""ok"""</formula>
    </cfRule>
  </conditionalFormatting>
  <conditionalFormatting sqref="M33">
    <cfRule type="expression" dxfId="0" priority="1">
      <formula>"""ok"""</formula>
    </cfRule>
  </conditionalFormatting>
  <printOptions horizontalCentered="1"/>
  <pageMargins left="0.51181102362204722" right="0.51181102362204722" top="0.74803149606299213" bottom="0.74803149606299213" header="0.31496062992125984" footer="0.11811023622047245"/>
  <pageSetup paperSize="9" scale="73" orientation="portrait" r:id="rId1"/>
  <ignoredErrors>
    <ignoredError sqref="J76:J100 J166:J174" evalError="1"/>
    <ignoredError sqref="C30:C32 C33:C36" 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03EAC-BFA9-41BF-B2C4-D962B91F20FF}">
  <sheetPr codeName="Hoja1">
    <pageSetUpPr fitToPage="1"/>
  </sheetPr>
  <dimension ref="A1:S167"/>
  <sheetViews>
    <sheetView workbookViewId="0">
      <pane xSplit="7" ySplit="3" topLeftCell="H26" activePane="bottomRight" state="frozen"/>
      <selection pane="topRight" activeCell="H1" sqref="H1"/>
      <selection pane="bottomLeft" activeCell="A4" sqref="A4"/>
      <selection pane="bottomRight" sqref="A1:XFD1048576"/>
    </sheetView>
  </sheetViews>
  <sheetFormatPr baseColWidth="10" defaultRowHeight="15" x14ac:dyDescent="0.25"/>
  <cols>
    <col min="1" max="1" width="11.42578125" style="366"/>
    <col min="2" max="2" width="30.85546875" style="366" customWidth="1"/>
    <col min="3" max="6" width="11.42578125" style="366"/>
    <col min="7" max="7" width="3.7109375" style="366" customWidth="1"/>
    <col min="8" max="9" width="11.42578125" style="366" customWidth="1"/>
    <col min="10" max="10" width="6.7109375" style="369" customWidth="1"/>
    <col min="11" max="11" width="11.42578125" style="366"/>
    <col min="12" max="12" width="16.140625" style="366" bestFit="1" customWidth="1"/>
    <col min="13" max="13" width="11.42578125" style="366"/>
    <col min="14" max="14" width="3.7109375" style="366" customWidth="1"/>
    <col min="15" max="16384" width="11.42578125" style="366"/>
  </cols>
  <sheetData>
    <row r="1" spans="1:18" x14ac:dyDescent="0.25">
      <c r="D1" s="367" t="s">
        <v>120</v>
      </c>
      <c r="E1" s="367"/>
      <c r="F1" s="367"/>
      <c r="H1" s="368" t="s">
        <v>125</v>
      </c>
      <c r="I1" s="368" t="s">
        <v>124</v>
      </c>
      <c r="J1" s="369" t="s">
        <v>389</v>
      </c>
    </row>
    <row r="2" spans="1:18" x14ac:dyDescent="0.25">
      <c r="A2" s="370" t="s">
        <v>59</v>
      </c>
      <c r="B2" s="370" t="s">
        <v>61</v>
      </c>
      <c r="C2" s="371" t="s">
        <v>60</v>
      </c>
      <c r="D2" s="372" t="s">
        <v>121</v>
      </c>
      <c r="E2" s="372" t="s">
        <v>123</v>
      </c>
      <c r="F2" s="372" t="s">
        <v>122</v>
      </c>
      <c r="H2" s="373">
        <v>0.02</v>
      </c>
      <c r="I2" s="373">
        <v>0.02</v>
      </c>
      <c r="K2" s="366" t="s">
        <v>369</v>
      </c>
      <c r="L2" s="366" t="s">
        <v>367</v>
      </c>
      <c r="M2" s="366" t="s">
        <v>368</v>
      </c>
      <c r="O2" s="374" t="s">
        <v>388</v>
      </c>
      <c r="R2" s="366" t="s">
        <v>505</v>
      </c>
    </row>
    <row r="3" spans="1:18" x14ac:dyDescent="0.25">
      <c r="A3" s="375" t="s">
        <v>399</v>
      </c>
      <c r="B3" s="376"/>
      <c r="C3" s="376"/>
      <c r="D3" s="377"/>
      <c r="E3" s="377"/>
      <c r="F3" s="377"/>
      <c r="J3" s="378">
        <f>+MAX(E5:E24)</f>
        <v>0.17</v>
      </c>
    </row>
    <row r="4" spans="1:18" x14ac:dyDescent="0.25">
      <c r="A4" s="370" t="s">
        <v>62</v>
      </c>
      <c r="B4" s="379" t="s">
        <v>63</v>
      </c>
      <c r="C4" s="371"/>
      <c r="D4" s="377"/>
      <c r="E4" s="377"/>
      <c r="F4" s="377"/>
    </row>
    <row r="5" spans="1:18" x14ac:dyDescent="0.25">
      <c r="A5" s="370" t="s">
        <v>64</v>
      </c>
      <c r="B5" s="380" t="s">
        <v>66</v>
      </c>
      <c r="C5" s="371" t="s">
        <v>65</v>
      </c>
      <c r="D5" s="377">
        <f>+ROUND((E5*(1-$H$2)),4)</f>
        <v>8.43E-2</v>
      </c>
      <c r="E5" s="377">
        <v>8.5999999999999993E-2</v>
      </c>
      <c r="F5" s="377">
        <f>+ROUND((E5*(1+$I$2)),4)</f>
        <v>8.77E-2</v>
      </c>
      <c r="J5" s="378"/>
      <c r="K5" s="381">
        <f>+ROUNDDOWN(+'L1 ANDA EXTR Ceuta Melilla'!$G$18*'% admitidos'!D5,0)</f>
        <v>0</v>
      </c>
      <c r="L5" s="381">
        <f>+ROUND(+'L1 ANDA EXTR Ceuta Melilla'!$G$18*'% admitidos'!E5,0)</f>
        <v>0</v>
      </c>
      <c r="M5" s="381">
        <f>+ROUNDUP(+'L1 ANDA EXTR Ceuta Melilla'!$G$18*'% admitidos'!F5,0)</f>
        <v>0</v>
      </c>
      <c r="O5" s="382">
        <f t="shared" ref="O5" si="0">+M5-K5</f>
        <v>0</v>
      </c>
    </row>
    <row r="6" spans="1:18" x14ac:dyDescent="0.25">
      <c r="A6" s="370" t="s">
        <v>67</v>
      </c>
      <c r="B6" s="380" t="s">
        <v>69</v>
      </c>
      <c r="C6" s="371" t="s">
        <v>65</v>
      </c>
      <c r="D6" s="377">
        <f t="shared" ref="D6:D24" si="1">+ROUND((E6*(1-$H$2)),4)</f>
        <v>6.9599999999999995E-2</v>
      </c>
      <c r="E6" s="377">
        <v>7.0999999999999994E-2</v>
      </c>
      <c r="F6" s="377">
        <f t="shared" ref="F6:F24" si="2">+ROUND((E6*(1+$I$2)),4)</f>
        <v>7.2400000000000006E-2</v>
      </c>
      <c r="K6" s="381">
        <f>+ROUNDDOWN(+'L1 ANDA EXTR Ceuta Melilla'!$G$18*'% admitidos'!D6,0)</f>
        <v>0</v>
      </c>
      <c r="L6" s="381">
        <f>+ROUND(+'L1 ANDA EXTR Ceuta Melilla'!$G$18*'% admitidos'!E6,0)</f>
        <v>0</v>
      </c>
      <c r="M6" s="381">
        <f>+ROUNDUP(+'L1 ANDA EXTR Ceuta Melilla'!$G$18*'% admitidos'!F6,0)</f>
        <v>0</v>
      </c>
      <c r="O6" s="382">
        <f t="shared" ref="O6:O24" si="3">+M6-K6</f>
        <v>0</v>
      </c>
    </row>
    <row r="7" spans="1:18" x14ac:dyDescent="0.25">
      <c r="A7" s="370" t="s">
        <v>70</v>
      </c>
      <c r="B7" s="380" t="s">
        <v>72</v>
      </c>
      <c r="C7" s="371" t="s">
        <v>65</v>
      </c>
      <c r="D7" s="377">
        <f t="shared" si="1"/>
        <v>0.05</v>
      </c>
      <c r="E7" s="377">
        <v>5.0999999999999997E-2</v>
      </c>
      <c r="F7" s="377">
        <f t="shared" si="2"/>
        <v>5.1999999999999998E-2</v>
      </c>
      <c r="K7" s="381">
        <f>+ROUNDDOWN(+'L1 ANDA EXTR Ceuta Melilla'!$G$18*'% admitidos'!D7,0)</f>
        <v>0</v>
      </c>
      <c r="L7" s="381">
        <f>+ROUND(+'L1 ANDA EXTR Ceuta Melilla'!$G$18*'% admitidos'!E7,0)</f>
        <v>0</v>
      </c>
      <c r="M7" s="381">
        <f>+ROUNDUP(+'L1 ANDA EXTR Ceuta Melilla'!$G$18*'% admitidos'!F7,0)</f>
        <v>0</v>
      </c>
      <c r="O7" s="382">
        <f t="shared" si="3"/>
        <v>0</v>
      </c>
    </row>
    <row r="8" spans="1:18" x14ac:dyDescent="0.25">
      <c r="A8" s="370" t="s">
        <v>73</v>
      </c>
      <c r="B8" s="380" t="s">
        <v>75</v>
      </c>
      <c r="C8" s="371" t="s">
        <v>65</v>
      </c>
      <c r="D8" s="377">
        <f t="shared" si="1"/>
        <v>5.9799999999999999E-2</v>
      </c>
      <c r="E8" s="377">
        <v>6.0999999999999999E-2</v>
      </c>
      <c r="F8" s="377">
        <f t="shared" si="2"/>
        <v>6.2199999999999998E-2</v>
      </c>
      <c r="K8" s="381">
        <f>+ROUNDDOWN(+'L1 ANDA EXTR Ceuta Melilla'!$G$18*'% admitidos'!D8,0)</f>
        <v>0</v>
      </c>
      <c r="L8" s="381">
        <f>+ROUND(+'L1 ANDA EXTR Ceuta Melilla'!$G$18*'% admitidos'!E8,0)</f>
        <v>0</v>
      </c>
      <c r="M8" s="381">
        <f>+ROUNDUP(+'L1 ANDA EXTR Ceuta Melilla'!$G$18*'% admitidos'!F8,0)</f>
        <v>0</v>
      </c>
      <c r="O8" s="382">
        <f t="shared" si="3"/>
        <v>0</v>
      </c>
    </row>
    <row r="9" spans="1:18" x14ac:dyDescent="0.25">
      <c r="A9" s="370" t="s">
        <v>76</v>
      </c>
      <c r="B9" s="380" t="s">
        <v>78</v>
      </c>
      <c r="C9" s="371" t="s">
        <v>65</v>
      </c>
      <c r="D9" s="377">
        <f t="shared" si="1"/>
        <v>0.12939999999999999</v>
      </c>
      <c r="E9" s="377">
        <v>0.13200000000000001</v>
      </c>
      <c r="F9" s="377">
        <f t="shared" si="2"/>
        <v>0.1346</v>
      </c>
      <c r="K9" s="381">
        <f>+ROUNDDOWN(+'L1 ANDA EXTR Ceuta Melilla'!$G$18*'% admitidos'!D9,0)</f>
        <v>0</v>
      </c>
      <c r="L9" s="381">
        <f>+ROUND(+'L1 ANDA EXTR Ceuta Melilla'!$G$18*'% admitidos'!E9,0)</f>
        <v>0</v>
      </c>
      <c r="M9" s="381">
        <f>+ROUNDUP(+'L1 ANDA EXTR Ceuta Melilla'!$G$18*'% admitidos'!F9,0)</f>
        <v>0</v>
      </c>
      <c r="O9" s="382">
        <f t="shared" si="3"/>
        <v>0</v>
      </c>
    </row>
    <row r="10" spans="1:18" ht="18.75" x14ac:dyDescent="0.3">
      <c r="A10" s="370" t="s">
        <v>79</v>
      </c>
      <c r="B10" s="380" t="s">
        <v>81</v>
      </c>
      <c r="C10" s="371" t="s">
        <v>65</v>
      </c>
      <c r="D10" s="383">
        <f>1-SUM(D5:D9)-SUM(D11:D24)</f>
        <v>0.18630000000000008</v>
      </c>
      <c r="E10" s="384">
        <v>0.17</v>
      </c>
      <c r="F10" s="383">
        <f>1-SUM(F5:F9)-SUM(F11:F24)</f>
        <v>0.1537</v>
      </c>
      <c r="K10" s="385">
        <f>+'L1 ANDA EXTR Ceuta Melilla'!$G$18-SUM(K5:K9)-SUM(K11:K24)</f>
        <v>0</v>
      </c>
      <c r="L10" s="385">
        <f>+'L1 ANDA EXTR Ceuta Melilla'!$G$18-SUM(L5:L9)-SUM(L11:L24)</f>
        <v>0</v>
      </c>
      <c r="M10" s="385">
        <f>+'L1 ANDA EXTR Ceuta Melilla'!$G$18-SUM(M5:M9)-SUM(M11:M24)</f>
        <v>0</v>
      </c>
      <c r="O10" s="386">
        <f>-(+M10-K10)</f>
        <v>0</v>
      </c>
      <c r="R10" s="381"/>
    </row>
    <row r="11" spans="1:18" x14ac:dyDescent="0.25">
      <c r="A11" s="370" t="s">
        <v>82</v>
      </c>
      <c r="B11" s="380" t="s">
        <v>85</v>
      </c>
      <c r="C11" s="371" t="s">
        <v>84</v>
      </c>
      <c r="D11" s="377">
        <f t="shared" si="1"/>
        <v>1.9599999999999999E-2</v>
      </c>
      <c r="E11" s="377">
        <v>0.02</v>
      </c>
      <c r="F11" s="377">
        <f t="shared" si="2"/>
        <v>2.0400000000000001E-2</v>
      </c>
      <c r="K11" s="381">
        <f>+ROUNDDOWN(+'L1 ANDA EXTR Ceuta Melilla'!$G$18*'% admitidos'!D11,0)</f>
        <v>0</v>
      </c>
      <c r="L11" s="381">
        <f>+ROUND(+'L1 ANDA EXTR Ceuta Melilla'!$G$18*'% admitidos'!E11,0)</f>
        <v>0</v>
      </c>
      <c r="M11" s="381">
        <f>+ROUNDUP(+'L1 ANDA EXTR Ceuta Melilla'!$G$18*'% admitidos'!F11,0)</f>
        <v>0</v>
      </c>
      <c r="O11" s="382">
        <f t="shared" si="3"/>
        <v>0</v>
      </c>
    </row>
    <row r="12" spans="1:18" x14ac:dyDescent="0.25">
      <c r="A12" s="370" t="s">
        <v>86</v>
      </c>
      <c r="B12" s="380" t="s">
        <v>88</v>
      </c>
      <c r="C12" s="371" t="s">
        <v>84</v>
      </c>
      <c r="D12" s="377">
        <f t="shared" si="1"/>
        <v>1.18E-2</v>
      </c>
      <c r="E12" s="377">
        <v>1.2E-2</v>
      </c>
      <c r="F12" s="377">
        <f t="shared" si="2"/>
        <v>1.2200000000000001E-2</v>
      </c>
      <c r="K12" s="381">
        <f>+ROUNDDOWN(+'L1 ANDA EXTR Ceuta Melilla'!$G$18*'% admitidos'!D12,0)</f>
        <v>0</v>
      </c>
      <c r="L12" s="381">
        <f>+ROUND(+'L1 ANDA EXTR Ceuta Melilla'!$G$18*'% admitidos'!E12,0)</f>
        <v>0</v>
      </c>
      <c r="M12" s="381">
        <f>+ROUNDUP(+'L1 ANDA EXTR Ceuta Melilla'!$G$18*'% admitidos'!F12,0)</f>
        <v>0</v>
      </c>
      <c r="O12" s="382">
        <f t="shared" si="3"/>
        <v>0</v>
      </c>
    </row>
    <row r="13" spans="1:18" x14ac:dyDescent="0.25">
      <c r="A13" s="370" t="s">
        <v>89</v>
      </c>
      <c r="B13" s="380" t="s">
        <v>91</v>
      </c>
      <c r="C13" s="371" t="s">
        <v>84</v>
      </c>
      <c r="D13" s="377">
        <f t="shared" si="1"/>
        <v>1.67E-2</v>
      </c>
      <c r="E13" s="377">
        <v>1.7000000000000001E-2</v>
      </c>
      <c r="F13" s="377">
        <f t="shared" si="2"/>
        <v>1.7299999999999999E-2</v>
      </c>
      <c r="K13" s="381">
        <f>+ROUNDDOWN(+'L1 ANDA EXTR Ceuta Melilla'!$G$18*'% admitidos'!D13,0)</f>
        <v>0</v>
      </c>
      <c r="L13" s="381">
        <f>+ROUND(+'L1 ANDA EXTR Ceuta Melilla'!$G$18*'% admitidos'!E13,0)</f>
        <v>0</v>
      </c>
      <c r="M13" s="381">
        <f>+ROUNDUP(+'L1 ANDA EXTR Ceuta Melilla'!$G$18*'% admitidos'!F13,0)</f>
        <v>0</v>
      </c>
      <c r="O13" s="382">
        <f t="shared" si="3"/>
        <v>0</v>
      </c>
    </row>
    <row r="14" spans="1:18" x14ac:dyDescent="0.25">
      <c r="A14" s="370" t="s">
        <v>92</v>
      </c>
      <c r="B14" s="380" t="s">
        <v>94</v>
      </c>
      <c r="C14" s="371" t="s">
        <v>84</v>
      </c>
      <c r="D14" s="377">
        <f t="shared" si="1"/>
        <v>1.67E-2</v>
      </c>
      <c r="E14" s="377">
        <v>1.7000000000000001E-2</v>
      </c>
      <c r="F14" s="377">
        <f t="shared" si="2"/>
        <v>1.7299999999999999E-2</v>
      </c>
      <c r="K14" s="381">
        <f>+ROUNDDOWN(+'L1 ANDA EXTR Ceuta Melilla'!$G$18*'% admitidos'!D14,0)</f>
        <v>0</v>
      </c>
      <c r="L14" s="381">
        <f>+ROUND(+'L1 ANDA EXTR Ceuta Melilla'!$G$18*'% admitidos'!E14,0)</f>
        <v>0</v>
      </c>
      <c r="M14" s="381">
        <f>+ROUNDUP(+'L1 ANDA EXTR Ceuta Melilla'!$G$18*'% admitidos'!F14,0)</f>
        <v>0</v>
      </c>
      <c r="O14" s="382">
        <f t="shared" si="3"/>
        <v>0</v>
      </c>
    </row>
    <row r="15" spans="1:18" x14ac:dyDescent="0.25">
      <c r="A15" s="370" t="s">
        <v>95</v>
      </c>
      <c r="B15" s="380" t="s">
        <v>97</v>
      </c>
      <c r="C15" s="371" t="s">
        <v>84</v>
      </c>
      <c r="D15" s="377">
        <f t="shared" si="1"/>
        <v>2.6499999999999999E-2</v>
      </c>
      <c r="E15" s="377">
        <v>2.7E-2</v>
      </c>
      <c r="F15" s="377">
        <f t="shared" si="2"/>
        <v>2.75E-2</v>
      </c>
      <c r="K15" s="381">
        <f>+ROUNDDOWN(+'L1 ANDA EXTR Ceuta Melilla'!$G$18*'% admitidos'!D15,0)</f>
        <v>0</v>
      </c>
      <c r="L15" s="381">
        <f>+ROUND(+'L1 ANDA EXTR Ceuta Melilla'!$G$18*'% admitidos'!E15,0)</f>
        <v>0</v>
      </c>
      <c r="M15" s="381">
        <f>+ROUNDUP(+'L1 ANDA EXTR Ceuta Melilla'!$G$18*'% admitidos'!F15,0)</f>
        <v>0</v>
      </c>
      <c r="O15" s="382">
        <f t="shared" si="3"/>
        <v>0</v>
      </c>
    </row>
    <row r="16" spans="1:18" x14ac:dyDescent="0.25">
      <c r="A16" s="370" t="s">
        <v>62</v>
      </c>
      <c r="B16" s="380" t="s">
        <v>98</v>
      </c>
      <c r="C16" s="371"/>
      <c r="D16" s="377"/>
      <c r="E16" s="377"/>
      <c r="F16" s="377"/>
      <c r="K16" s="381"/>
      <c r="L16" s="381"/>
      <c r="M16" s="381"/>
      <c r="O16" s="382"/>
    </row>
    <row r="17" spans="1:19" x14ac:dyDescent="0.25">
      <c r="A17" s="370" t="s">
        <v>99</v>
      </c>
      <c r="B17" s="380" t="s">
        <v>101</v>
      </c>
      <c r="C17" s="371" t="s">
        <v>65</v>
      </c>
      <c r="D17" s="377">
        <f t="shared" si="1"/>
        <v>4.6100000000000002E-2</v>
      </c>
      <c r="E17" s="377">
        <v>4.7E-2</v>
      </c>
      <c r="F17" s="377">
        <f t="shared" si="2"/>
        <v>4.7899999999999998E-2</v>
      </c>
      <c r="K17" s="381">
        <f>+ROUNDDOWN(+'L1 ANDA EXTR Ceuta Melilla'!$G$18*'% admitidos'!D17,0)</f>
        <v>0</v>
      </c>
      <c r="L17" s="381">
        <f>+ROUND(+'L1 ANDA EXTR Ceuta Melilla'!$G$18*'% admitidos'!E17,0)</f>
        <v>0</v>
      </c>
      <c r="M17" s="381">
        <f>+ROUNDUP(+'L1 ANDA EXTR Ceuta Melilla'!$G$18*'% admitidos'!F17,0)</f>
        <v>0</v>
      </c>
      <c r="O17" s="382">
        <f t="shared" si="3"/>
        <v>0</v>
      </c>
    </row>
    <row r="18" spans="1:19" x14ac:dyDescent="0.25">
      <c r="A18" s="370" t="s">
        <v>102</v>
      </c>
      <c r="B18" s="380" t="s">
        <v>104</v>
      </c>
      <c r="C18" s="371" t="s">
        <v>65</v>
      </c>
      <c r="D18" s="377">
        <f t="shared" si="1"/>
        <v>3.8199999999999998E-2</v>
      </c>
      <c r="E18" s="377">
        <v>3.9E-2</v>
      </c>
      <c r="F18" s="377">
        <f t="shared" si="2"/>
        <v>3.9800000000000002E-2</v>
      </c>
      <c r="K18" s="381">
        <f>+ROUNDDOWN(+'L1 ANDA EXTR Ceuta Melilla'!$G$18*'% admitidos'!D18,0)</f>
        <v>0</v>
      </c>
      <c r="L18" s="381">
        <f>+ROUND(+'L1 ANDA EXTR Ceuta Melilla'!$G$18*'% admitidos'!E18,0)</f>
        <v>0</v>
      </c>
      <c r="M18" s="381">
        <f>+ROUNDUP(+'L1 ANDA EXTR Ceuta Melilla'!$G$18*'% admitidos'!F18,0)</f>
        <v>0</v>
      </c>
      <c r="O18" s="382">
        <f t="shared" si="3"/>
        <v>0</v>
      </c>
    </row>
    <row r="19" spans="1:19" x14ac:dyDescent="0.25">
      <c r="A19" s="370" t="s">
        <v>62</v>
      </c>
      <c r="B19" s="380" t="s">
        <v>105</v>
      </c>
      <c r="C19" s="371"/>
      <c r="D19" s="377"/>
      <c r="E19" s="377"/>
      <c r="F19" s="377"/>
      <c r="K19" s="381"/>
      <c r="L19" s="381"/>
      <c r="M19" s="381"/>
      <c r="O19" s="382"/>
    </row>
    <row r="20" spans="1:19" x14ac:dyDescent="0.25">
      <c r="A20" s="370" t="s">
        <v>106</v>
      </c>
      <c r="B20" s="380" t="s">
        <v>107</v>
      </c>
      <c r="C20" s="371" t="s">
        <v>65</v>
      </c>
      <c r="D20" s="377">
        <f t="shared" si="1"/>
        <v>0.11559999999999999</v>
      </c>
      <c r="E20" s="377">
        <v>0.11799999999999999</v>
      </c>
      <c r="F20" s="377">
        <f t="shared" si="2"/>
        <v>0.12039999999999999</v>
      </c>
      <c r="K20" s="381">
        <f>+ROUNDDOWN(+'L1 ANDA EXTR Ceuta Melilla'!$G$18*'% admitidos'!D20,0)</f>
        <v>0</v>
      </c>
      <c r="L20" s="381">
        <f>+ROUND(+'L1 ANDA EXTR Ceuta Melilla'!$G$18*'% admitidos'!E20,0)</f>
        <v>0</v>
      </c>
      <c r="M20" s="381">
        <f>+ROUNDUP(+'L1 ANDA EXTR Ceuta Melilla'!$G$18*'% admitidos'!F20,0)</f>
        <v>0</v>
      </c>
      <c r="O20" s="382">
        <f t="shared" si="3"/>
        <v>0</v>
      </c>
    </row>
    <row r="21" spans="1:19" x14ac:dyDescent="0.25">
      <c r="A21" s="370" t="s">
        <v>108</v>
      </c>
      <c r="B21" s="380" t="s">
        <v>110</v>
      </c>
      <c r="C21" s="371" t="s">
        <v>65</v>
      </c>
      <c r="D21" s="377">
        <f t="shared" si="1"/>
        <v>8.6199999999999999E-2</v>
      </c>
      <c r="E21" s="377">
        <v>8.7999999999999995E-2</v>
      </c>
      <c r="F21" s="377">
        <f t="shared" si="2"/>
        <v>8.9800000000000005E-2</v>
      </c>
      <c r="K21" s="381">
        <f>+ROUNDDOWN(+'L1 ANDA EXTR Ceuta Melilla'!$G$18*'% admitidos'!D21,0)</f>
        <v>0</v>
      </c>
      <c r="L21" s="381">
        <f>+ROUND(+'L1 ANDA EXTR Ceuta Melilla'!$G$18*'% admitidos'!E21,0)</f>
        <v>0</v>
      </c>
      <c r="M21" s="381">
        <f>+ROUNDUP(+'L1 ANDA EXTR Ceuta Melilla'!$G$18*'% admitidos'!F21,0)</f>
        <v>0</v>
      </c>
      <c r="O21" s="382">
        <f t="shared" si="3"/>
        <v>0</v>
      </c>
    </row>
    <row r="22" spans="1:19" x14ac:dyDescent="0.25">
      <c r="A22" s="370" t="s">
        <v>111</v>
      </c>
      <c r="B22" s="380" t="s">
        <v>113</v>
      </c>
      <c r="C22" s="371" t="s">
        <v>65</v>
      </c>
      <c r="D22" s="377">
        <f t="shared" si="1"/>
        <v>1.67E-2</v>
      </c>
      <c r="E22" s="377">
        <v>1.7000000000000001E-2</v>
      </c>
      <c r="F22" s="377">
        <f t="shared" si="2"/>
        <v>1.7299999999999999E-2</v>
      </c>
      <c r="K22" s="381">
        <f>+ROUNDDOWN(+'L1 ANDA EXTR Ceuta Melilla'!$G$18*'% admitidos'!D22,0)</f>
        <v>0</v>
      </c>
      <c r="L22" s="381">
        <f>+ROUND(+'L1 ANDA EXTR Ceuta Melilla'!$G$18*'% admitidos'!E22,0)</f>
        <v>0</v>
      </c>
      <c r="M22" s="381">
        <f>+ROUNDUP(+'L1 ANDA EXTR Ceuta Melilla'!$G$18*'% admitidos'!F22,0)</f>
        <v>0</v>
      </c>
      <c r="O22" s="382">
        <f t="shared" si="3"/>
        <v>0</v>
      </c>
    </row>
    <row r="23" spans="1:19" x14ac:dyDescent="0.25">
      <c r="A23" s="370" t="s">
        <v>114</v>
      </c>
      <c r="B23" s="380" t="s">
        <v>116</v>
      </c>
      <c r="C23" s="371" t="s">
        <v>84</v>
      </c>
      <c r="D23" s="377">
        <f t="shared" si="1"/>
        <v>1.18E-2</v>
      </c>
      <c r="E23" s="377">
        <v>1.2E-2</v>
      </c>
      <c r="F23" s="377">
        <f t="shared" si="2"/>
        <v>1.2200000000000001E-2</v>
      </c>
      <c r="K23" s="381">
        <f>+ROUNDDOWN(+'L1 ANDA EXTR Ceuta Melilla'!$G$18*'% admitidos'!D23,0)</f>
        <v>0</v>
      </c>
      <c r="L23" s="381">
        <f>+ROUND(+'L1 ANDA EXTR Ceuta Melilla'!$G$18*'% admitidos'!E23,0)</f>
        <v>0</v>
      </c>
      <c r="M23" s="381">
        <f>+ROUNDUP(+'L1 ANDA EXTR Ceuta Melilla'!$G$18*'% admitidos'!F23,0)</f>
        <v>0</v>
      </c>
      <c r="O23" s="382">
        <f t="shared" si="3"/>
        <v>0</v>
      </c>
    </row>
    <row r="24" spans="1:19" x14ac:dyDescent="0.25">
      <c r="A24" s="370" t="s">
        <v>117</v>
      </c>
      <c r="B24" s="380" t="s">
        <v>119</v>
      </c>
      <c r="C24" s="371" t="s">
        <v>84</v>
      </c>
      <c r="D24" s="377">
        <f t="shared" si="1"/>
        <v>1.47E-2</v>
      </c>
      <c r="E24" s="377">
        <v>1.4999999999999999E-2</v>
      </c>
      <c r="F24" s="377">
        <f t="shared" si="2"/>
        <v>1.5299999999999999E-2</v>
      </c>
      <c r="K24" s="381">
        <f>+ROUNDDOWN(+'L1 ANDA EXTR Ceuta Melilla'!$G$18*'% admitidos'!D24,0)</f>
        <v>0</v>
      </c>
      <c r="L24" s="381">
        <f>+ROUND(+'L1 ANDA EXTR Ceuta Melilla'!$G$18*'% admitidos'!E24,0)</f>
        <v>0</v>
      </c>
      <c r="M24" s="381">
        <f>+ROUNDUP(+'L1 ANDA EXTR Ceuta Melilla'!$G$18*'% admitidos'!F24,0)</f>
        <v>0</v>
      </c>
      <c r="O24" s="382">
        <f t="shared" si="3"/>
        <v>0</v>
      </c>
    </row>
    <row r="25" spans="1:19" x14ac:dyDescent="0.25">
      <c r="A25" s="387" t="s">
        <v>126</v>
      </c>
      <c r="B25" s="388"/>
      <c r="C25" s="388"/>
      <c r="D25" s="383">
        <f>SUM(D5:D24)</f>
        <v>1.0000000000000004</v>
      </c>
      <c r="E25" s="383">
        <f>SUM(E5:E24)</f>
        <v>1</v>
      </c>
      <c r="F25" s="383">
        <f>SUM(F5:F24)</f>
        <v>0.99999999999999978</v>
      </c>
      <c r="G25" s="388"/>
      <c r="H25" s="388"/>
      <c r="I25" s="388"/>
      <c r="K25" s="385">
        <f>SUM(K5:K24)</f>
        <v>0</v>
      </c>
      <c r="L25" s="385">
        <f>SUM(L5:L24)</f>
        <v>0</v>
      </c>
      <c r="M25" s="385">
        <f>SUM(M5:M24)</f>
        <v>0</v>
      </c>
      <c r="R25" s="381"/>
      <c r="S25" s="381"/>
    </row>
    <row r="26" spans="1:19" x14ac:dyDescent="0.25">
      <c r="A26" s="370" t="s">
        <v>59</v>
      </c>
      <c r="B26" s="370" t="s">
        <v>61</v>
      </c>
      <c r="C26" s="371" t="s">
        <v>60</v>
      </c>
      <c r="D26" s="372" t="s">
        <v>121</v>
      </c>
      <c r="E26" s="372" t="s">
        <v>123</v>
      </c>
      <c r="F26" s="372" t="s">
        <v>122</v>
      </c>
      <c r="H26" s="373">
        <v>0.02</v>
      </c>
      <c r="I26" s="373">
        <v>0.02</v>
      </c>
      <c r="N26" s="388"/>
    </row>
    <row r="27" spans="1:19" x14ac:dyDescent="0.25">
      <c r="A27" s="387" t="s">
        <v>127</v>
      </c>
      <c r="B27" s="376"/>
      <c r="C27" s="387"/>
      <c r="D27" s="377"/>
      <c r="E27" s="377"/>
      <c r="F27" s="377"/>
      <c r="J27" s="378">
        <f>+MAX(E29:E46)</f>
        <v>0.13700000000000001</v>
      </c>
    </row>
    <row r="28" spans="1:19" x14ac:dyDescent="0.25">
      <c r="A28" s="370" t="s">
        <v>62</v>
      </c>
      <c r="B28" s="389" t="s">
        <v>128</v>
      </c>
      <c r="C28" s="371"/>
      <c r="D28" s="377"/>
      <c r="E28" s="377"/>
      <c r="F28" s="377"/>
    </row>
    <row r="29" spans="1:19" x14ac:dyDescent="0.25">
      <c r="A29" s="370" t="s">
        <v>129</v>
      </c>
      <c r="B29" s="389" t="s">
        <v>130</v>
      </c>
      <c r="C29" s="371" t="s">
        <v>65</v>
      </c>
      <c r="D29" s="377">
        <f>+ROUND((E29*(1-$H$26)),4)</f>
        <v>7.5499999999999998E-2</v>
      </c>
      <c r="E29" s="377">
        <v>7.6999999999999999E-2</v>
      </c>
      <c r="F29" s="377">
        <f>+ROUND((E29*(1+$I$26)),4)</f>
        <v>7.85E-2</v>
      </c>
      <c r="J29" s="378"/>
      <c r="K29" s="381">
        <f>+ROUNDDOWN(+'L2 ARAG NAVA RIOJ PVASC'!$G$18*'% admitidos'!D29,0)</f>
        <v>0</v>
      </c>
      <c r="L29" s="381">
        <f>+ROUND(+'L2 ARAG NAVA RIOJ PVASC'!$G$18*'% admitidos'!E29,0)</f>
        <v>0</v>
      </c>
      <c r="M29" s="381">
        <f>+ROUNDUP(+'L2 ARAG NAVA RIOJ PVASC'!$G$18*'% admitidos'!F29,0)</f>
        <v>0</v>
      </c>
      <c r="O29" s="382">
        <f t="shared" ref="O29" si="4">+M29-K29</f>
        <v>0</v>
      </c>
    </row>
    <row r="30" spans="1:19" x14ac:dyDescent="0.25">
      <c r="A30" s="370" t="s">
        <v>131</v>
      </c>
      <c r="B30" s="389" t="s">
        <v>132</v>
      </c>
      <c r="C30" s="371" t="s">
        <v>65</v>
      </c>
      <c r="D30" s="377">
        <f t="shared" ref="D30:D46" si="5">+ROUND((E30*(1-$H$26)),4)</f>
        <v>0.11070000000000001</v>
      </c>
      <c r="E30" s="377">
        <v>0.113</v>
      </c>
      <c r="F30" s="377">
        <f t="shared" ref="F30:F46" si="6">+ROUND((E30*(1+$I$26)),4)</f>
        <v>0.1153</v>
      </c>
      <c r="K30" s="381">
        <f>+ROUNDDOWN(+'L2 ARAG NAVA RIOJ PVASC'!$G$18*'% admitidos'!D30,0)</f>
        <v>0</v>
      </c>
      <c r="L30" s="381">
        <f>+ROUND(+'L2 ARAG NAVA RIOJ PVASC'!$G$18*'% admitidos'!E30,0)</f>
        <v>0</v>
      </c>
      <c r="M30" s="381">
        <f>+ROUNDUP(+'L2 ARAG NAVA RIOJ PVASC'!$G$18*'% admitidos'!F30,0)</f>
        <v>0</v>
      </c>
      <c r="O30" s="382">
        <f t="shared" ref="O30:O34" si="7">+M30-K30</f>
        <v>0</v>
      </c>
    </row>
    <row r="31" spans="1:19" x14ac:dyDescent="0.25">
      <c r="A31" s="370" t="s">
        <v>133</v>
      </c>
      <c r="B31" s="389" t="s">
        <v>134</v>
      </c>
      <c r="C31" s="371" t="s">
        <v>65</v>
      </c>
      <c r="D31" s="377">
        <f t="shared" si="5"/>
        <v>0.12740000000000001</v>
      </c>
      <c r="E31" s="377">
        <v>0.13</v>
      </c>
      <c r="F31" s="377">
        <f t="shared" si="6"/>
        <v>0.1326</v>
      </c>
      <c r="K31" s="381">
        <f>+ROUNDDOWN(+'L2 ARAG NAVA RIOJ PVASC'!$G$18*'% admitidos'!D31,0)</f>
        <v>0</v>
      </c>
      <c r="L31" s="381">
        <f>+ROUND(+'L2 ARAG NAVA RIOJ PVASC'!$G$18*'% admitidos'!E31,0)</f>
        <v>0</v>
      </c>
      <c r="M31" s="381">
        <f>+ROUNDUP(+'L2 ARAG NAVA RIOJ PVASC'!$G$18*'% admitidos'!F31,0)</f>
        <v>0</v>
      </c>
      <c r="O31" s="382">
        <f t="shared" si="7"/>
        <v>0</v>
      </c>
    </row>
    <row r="32" spans="1:19" x14ac:dyDescent="0.25">
      <c r="A32" s="370" t="s">
        <v>135</v>
      </c>
      <c r="B32" s="389" t="s">
        <v>136</v>
      </c>
      <c r="C32" s="371" t="s">
        <v>84</v>
      </c>
      <c r="D32" s="377">
        <f t="shared" si="5"/>
        <v>3.4299999999999997E-2</v>
      </c>
      <c r="E32" s="377">
        <v>3.5000000000000003E-2</v>
      </c>
      <c r="F32" s="377">
        <f t="shared" si="6"/>
        <v>3.5700000000000003E-2</v>
      </c>
      <c r="K32" s="381">
        <f>+ROUNDDOWN(+'L2 ARAG NAVA RIOJ PVASC'!$G$18*'% admitidos'!D32,0)</f>
        <v>0</v>
      </c>
      <c r="L32" s="381">
        <f>+ROUND(+'L2 ARAG NAVA RIOJ PVASC'!$G$18*'% admitidos'!E32,0)</f>
        <v>0</v>
      </c>
      <c r="M32" s="381">
        <f>+ROUNDUP(+'L2 ARAG NAVA RIOJ PVASC'!$G$18*'% admitidos'!F32,0)</f>
        <v>0</v>
      </c>
      <c r="O32" s="382">
        <f t="shared" si="7"/>
        <v>0</v>
      </c>
    </row>
    <row r="33" spans="1:15" x14ac:dyDescent="0.25">
      <c r="A33" s="370" t="s">
        <v>137</v>
      </c>
      <c r="B33" s="389" t="s">
        <v>138</v>
      </c>
      <c r="C33" s="371" t="s">
        <v>84</v>
      </c>
      <c r="D33" s="377">
        <f t="shared" si="5"/>
        <v>2.4500000000000001E-2</v>
      </c>
      <c r="E33" s="377">
        <v>2.5000000000000001E-2</v>
      </c>
      <c r="F33" s="377">
        <f t="shared" si="6"/>
        <v>2.5499999999999998E-2</v>
      </c>
      <c r="K33" s="381">
        <f>+ROUNDDOWN(+'L2 ARAG NAVA RIOJ PVASC'!$G$18*'% admitidos'!D33,0)</f>
        <v>0</v>
      </c>
      <c r="L33" s="381">
        <f>+ROUND(+'L2 ARAG NAVA RIOJ PVASC'!$G$18*'% admitidos'!E33,0)</f>
        <v>0</v>
      </c>
      <c r="M33" s="381">
        <f>+ROUNDUP(+'L2 ARAG NAVA RIOJ PVASC'!$G$18*'% admitidos'!F33,0)</f>
        <v>0</v>
      </c>
      <c r="O33" s="382">
        <f t="shared" si="7"/>
        <v>0</v>
      </c>
    </row>
    <row r="34" spans="1:15" x14ac:dyDescent="0.25">
      <c r="A34" s="370" t="s">
        <v>139</v>
      </c>
      <c r="B34" s="389" t="s">
        <v>140</v>
      </c>
      <c r="C34" s="371" t="s">
        <v>84</v>
      </c>
      <c r="D34" s="377">
        <f t="shared" si="5"/>
        <v>2.06E-2</v>
      </c>
      <c r="E34" s="377">
        <v>2.1000000000000001E-2</v>
      </c>
      <c r="F34" s="377">
        <f t="shared" si="6"/>
        <v>2.1399999999999999E-2</v>
      </c>
      <c r="K34" s="381">
        <f>+ROUNDDOWN(+'L2 ARAG NAVA RIOJ PVASC'!$G$18*'% admitidos'!D34,0)</f>
        <v>0</v>
      </c>
      <c r="L34" s="381">
        <f>+ROUND(+'L2 ARAG NAVA RIOJ PVASC'!$G$18*'% admitidos'!E34,0)</f>
        <v>0</v>
      </c>
      <c r="M34" s="381">
        <f>+ROUNDUP(+'L2 ARAG NAVA RIOJ PVASC'!$G$18*'% admitidos'!F34,0)</f>
        <v>0</v>
      </c>
      <c r="O34" s="382">
        <f t="shared" si="7"/>
        <v>0</v>
      </c>
    </row>
    <row r="35" spans="1:15" x14ac:dyDescent="0.25">
      <c r="A35" s="370" t="s">
        <v>62</v>
      </c>
      <c r="B35" s="389" t="s">
        <v>141</v>
      </c>
      <c r="C35" s="371"/>
      <c r="D35" s="377"/>
      <c r="E35" s="377"/>
      <c r="F35" s="377"/>
    </row>
    <row r="36" spans="1:15" x14ac:dyDescent="0.25">
      <c r="A36" s="370" t="s">
        <v>142</v>
      </c>
      <c r="B36" s="389" t="s">
        <v>143</v>
      </c>
      <c r="C36" s="371" t="s">
        <v>65</v>
      </c>
      <c r="D36" s="377">
        <f t="shared" si="5"/>
        <v>0.11070000000000001</v>
      </c>
      <c r="E36" s="377">
        <v>0.113</v>
      </c>
      <c r="F36" s="377">
        <f t="shared" si="6"/>
        <v>0.1153</v>
      </c>
      <c r="K36" s="381">
        <f>+ROUNDDOWN(+'L2 ARAG NAVA RIOJ PVASC'!$G$18*'% admitidos'!D36,0)</f>
        <v>0</v>
      </c>
      <c r="L36" s="381">
        <f>+ROUND(+'L2 ARAG NAVA RIOJ PVASC'!$G$18*'% admitidos'!E36,0)</f>
        <v>0</v>
      </c>
      <c r="M36" s="381">
        <f>+ROUNDUP(+'L2 ARAG NAVA RIOJ PVASC'!$G$18*'% admitidos'!F36,0)</f>
        <v>0</v>
      </c>
      <c r="O36" s="382">
        <f t="shared" ref="O36:O37" si="8">+M36-K36</f>
        <v>0</v>
      </c>
    </row>
    <row r="37" spans="1:15" x14ac:dyDescent="0.25">
      <c r="A37" s="370" t="s">
        <v>144</v>
      </c>
      <c r="B37" s="389" t="s">
        <v>145</v>
      </c>
      <c r="C37" s="371" t="s">
        <v>84</v>
      </c>
      <c r="D37" s="377">
        <f t="shared" si="5"/>
        <v>1.7600000000000001E-2</v>
      </c>
      <c r="E37" s="377">
        <v>1.7999999999999999E-2</v>
      </c>
      <c r="F37" s="377">
        <f t="shared" si="6"/>
        <v>1.84E-2</v>
      </c>
      <c r="K37" s="381">
        <f>+ROUNDDOWN(+'L2 ARAG NAVA RIOJ PVASC'!$G$18*'% admitidos'!D37,0)</f>
        <v>0</v>
      </c>
      <c r="L37" s="381">
        <f>+ROUND(+'L2 ARAG NAVA RIOJ PVASC'!$G$18*'% admitidos'!E37,0)</f>
        <v>0</v>
      </c>
      <c r="M37" s="381">
        <f>+ROUNDUP(+'L2 ARAG NAVA RIOJ PVASC'!$G$18*'% admitidos'!F37,0)</f>
        <v>0</v>
      </c>
      <c r="O37" s="382">
        <f t="shared" si="8"/>
        <v>0</v>
      </c>
    </row>
    <row r="38" spans="1:15" x14ac:dyDescent="0.25">
      <c r="A38" s="370" t="s">
        <v>62</v>
      </c>
      <c r="B38" s="389" t="s">
        <v>146</v>
      </c>
      <c r="C38" s="371"/>
      <c r="D38" s="377"/>
      <c r="E38" s="377"/>
      <c r="F38" s="377"/>
    </row>
    <row r="39" spans="1:15" x14ac:dyDescent="0.25">
      <c r="A39" s="370" t="s">
        <v>147</v>
      </c>
      <c r="B39" s="389" t="s">
        <v>148</v>
      </c>
      <c r="C39" s="371" t="s">
        <v>65</v>
      </c>
      <c r="D39" s="377">
        <f t="shared" si="5"/>
        <v>0.12740000000000001</v>
      </c>
      <c r="E39" s="377">
        <v>0.13</v>
      </c>
      <c r="F39" s="377">
        <f t="shared" si="6"/>
        <v>0.1326</v>
      </c>
      <c r="K39" s="381">
        <f>+ROUNDDOWN(+'L2 ARAG NAVA RIOJ PVASC'!$G$18*'% admitidos'!D39,0)</f>
        <v>0</v>
      </c>
      <c r="L39" s="381">
        <f>+ROUND(+'L2 ARAG NAVA RIOJ PVASC'!$G$18*'% admitidos'!E39,0)</f>
        <v>0</v>
      </c>
      <c r="M39" s="381">
        <f>+ROUNDUP(+'L2 ARAG NAVA RIOJ PVASC'!$G$18*'% admitidos'!F39,0)</f>
        <v>0</v>
      </c>
      <c r="O39" s="382">
        <f t="shared" ref="O39:O41" si="9">+M39-K39</f>
        <v>0</v>
      </c>
    </row>
    <row r="40" spans="1:15" x14ac:dyDescent="0.25">
      <c r="A40" s="370" t="s">
        <v>149</v>
      </c>
      <c r="B40" s="389" t="s">
        <v>150</v>
      </c>
      <c r="C40" s="371" t="s">
        <v>65</v>
      </c>
      <c r="D40" s="377">
        <f t="shared" si="5"/>
        <v>2.06E-2</v>
      </c>
      <c r="E40" s="377">
        <v>2.1000000000000001E-2</v>
      </c>
      <c r="F40" s="377">
        <f t="shared" si="6"/>
        <v>2.1399999999999999E-2</v>
      </c>
      <c r="K40" s="381">
        <f>+ROUNDDOWN(+'L2 ARAG NAVA RIOJ PVASC'!$G$18*'% admitidos'!D40,0)</f>
        <v>0</v>
      </c>
      <c r="L40" s="381">
        <f>+ROUND(+'L2 ARAG NAVA RIOJ PVASC'!$G$18*'% admitidos'!E40,0)</f>
        <v>0</v>
      </c>
      <c r="M40" s="381">
        <f>+ROUNDUP(+'L2 ARAG NAVA RIOJ PVASC'!$G$18*'% admitidos'!F40,0)</f>
        <v>0</v>
      </c>
      <c r="O40" s="382">
        <f t="shared" si="9"/>
        <v>0</v>
      </c>
    </row>
    <row r="41" spans="1:15" x14ac:dyDescent="0.25">
      <c r="A41" s="370" t="s">
        <v>151</v>
      </c>
      <c r="B41" s="389" t="s">
        <v>152</v>
      </c>
      <c r="C41" s="371" t="s">
        <v>84</v>
      </c>
      <c r="D41" s="377">
        <f t="shared" si="5"/>
        <v>2.4500000000000001E-2</v>
      </c>
      <c r="E41" s="377">
        <v>2.5000000000000001E-2</v>
      </c>
      <c r="F41" s="377">
        <f t="shared" si="6"/>
        <v>2.5499999999999998E-2</v>
      </c>
      <c r="K41" s="381">
        <f>+ROUNDDOWN(+'L2 ARAG NAVA RIOJ PVASC'!$G$18*'% admitidos'!D41,0)</f>
        <v>0</v>
      </c>
      <c r="L41" s="381">
        <f>+ROUND(+'L2 ARAG NAVA RIOJ PVASC'!$G$18*'% admitidos'!E41,0)</f>
        <v>0</v>
      </c>
      <c r="M41" s="381">
        <f>+ROUNDUP(+'L2 ARAG NAVA RIOJ PVASC'!$G$18*'% admitidos'!F41,0)</f>
        <v>0</v>
      </c>
      <c r="O41" s="382">
        <f t="shared" si="9"/>
        <v>0</v>
      </c>
    </row>
    <row r="42" spans="1:15" x14ac:dyDescent="0.25">
      <c r="A42" s="370" t="s">
        <v>62</v>
      </c>
      <c r="B42" s="389" t="s">
        <v>153</v>
      </c>
      <c r="C42" s="371"/>
      <c r="D42" s="377"/>
      <c r="E42" s="377"/>
      <c r="F42" s="377"/>
    </row>
    <row r="43" spans="1:15" x14ac:dyDescent="0.25">
      <c r="A43" s="370" t="s">
        <v>154</v>
      </c>
      <c r="B43" s="389" t="s">
        <v>155</v>
      </c>
      <c r="C43" s="371" t="s">
        <v>65</v>
      </c>
      <c r="D43" s="377">
        <f t="shared" si="5"/>
        <v>9.0200000000000002E-2</v>
      </c>
      <c r="E43" s="377">
        <v>9.1999999999999998E-2</v>
      </c>
      <c r="F43" s="377">
        <f t="shared" si="6"/>
        <v>9.3799999999999994E-2</v>
      </c>
      <c r="K43" s="381">
        <f>+ROUNDDOWN(+'L2 ARAG NAVA RIOJ PVASC'!$G$18*'% admitidos'!D43,0)</f>
        <v>0</v>
      </c>
      <c r="L43" s="381">
        <f>+ROUND(+'L2 ARAG NAVA RIOJ PVASC'!$G$18*'% admitidos'!E43,0)</f>
        <v>0</v>
      </c>
      <c r="M43" s="381">
        <f>+ROUNDUP(+'L2 ARAG NAVA RIOJ PVASC'!$G$18*'% admitidos'!F43,0)</f>
        <v>0</v>
      </c>
      <c r="O43" s="382">
        <f t="shared" ref="O43:O46" si="10">+M43-K43</f>
        <v>0</v>
      </c>
    </row>
    <row r="44" spans="1:15" x14ac:dyDescent="0.25">
      <c r="A44" s="370" t="s">
        <v>156</v>
      </c>
      <c r="B44" s="389" t="s">
        <v>157</v>
      </c>
      <c r="C44" s="371" t="s">
        <v>65</v>
      </c>
      <c r="D44" s="377">
        <f>1-SUM(D29:D43)-SUM(D45:D46)</f>
        <v>0.15429999999999996</v>
      </c>
      <c r="E44" s="377">
        <v>0.13700000000000001</v>
      </c>
      <c r="F44" s="377">
        <f>1-SUM(F29:F43)-SUM(F45:F46)</f>
        <v>0.11970000000000006</v>
      </c>
      <c r="K44" s="385">
        <f>+'L2 ARAG NAVA RIOJ PVASC'!$G$18-SUM(K29:K43)-SUM(K45:K46)</f>
        <v>0</v>
      </c>
      <c r="L44" s="385">
        <f>+'L2 ARAG NAVA RIOJ PVASC'!$G$18-SUM(L29:L43)-SUM(L45:L46)</f>
        <v>0</v>
      </c>
      <c r="M44" s="385">
        <f>+'L2 ARAG NAVA RIOJ PVASC'!$G$18-SUM(M29:M43)-SUM(M45:M46)</f>
        <v>0</v>
      </c>
      <c r="O44" s="386">
        <f>-(+M44-K44)</f>
        <v>0</v>
      </c>
    </row>
    <row r="45" spans="1:15" x14ac:dyDescent="0.25">
      <c r="A45" s="370" t="s">
        <v>158</v>
      </c>
      <c r="B45" s="389" t="s">
        <v>159</v>
      </c>
      <c r="C45" s="371" t="s">
        <v>84</v>
      </c>
      <c r="D45" s="377">
        <f t="shared" si="5"/>
        <v>2.7400000000000001E-2</v>
      </c>
      <c r="E45" s="377">
        <v>2.8000000000000001E-2</v>
      </c>
      <c r="F45" s="377">
        <f t="shared" si="6"/>
        <v>2.86E-2</v>
      </c>
      <c r="K45" s="381">
        <f>+ROUNDDOWN(+'L2 ARAG NAVA RIOJ PVASC'!$G$18*'% admitidos'!D45,0)</f>
        <v>0</v>
      </c>
      <c r="L45" s="381">
        <f>+ROUND(+'L2 ARAG NAVA RIOJ PVASC'!$G$18*'% admitidos'!E45,0)</f>
        <v>0</v>
      </c>
      <c r="M45" s="381">
        <f>+ROUNDUP(+'L2 ARAG NAVA RIOJ PVASC'!$G$18*'% admitidos'!F45,0)</f>
        <v>0</v>
      </c>
      <c r="O45" s="382">
        <f t="shared" si="10"/>
        <v>0</v>
      </c>
    </row>
    <row r="46" spans="1:15" x14ac:dyDescent="0.25">
      <c r="A46" s="370" t="s">
        <v>160</v>
      </c>
      <c r="B46" s="389" t="s">
        <v>161</v>
      </c>
      <c r="C46" s="371" t="s">
        <v>84</v>
      </c>
      <c r="D46" s="377">
        <f t="shared" si="5"/>
        <v>3.4299999999999997E-2</v>
      </c>
      <c r="E46" s="377">
        <v>3.5000000000000003E-2</v>
      </c>
      <c r="F46" s="377">
        <f t="shared" si="6"/>
        <v>3.5700000000000003E-2</v>
      </c>
      <c r="K46" s="381">
        <f>+ROUNDDOWN(+'L2 ARAG NAVA RIOJ PVASC'!$G$18*'% admitidos'!D46,0)</f>
        <v>0</v>
      </c>
      <c r="L46" s="381">
        <f>+ROUND(+'L2 ARAG NAVA RIOJ PVASC'!$G$18*'% admitidos'!E46,0)</f>
        <v>0</v>
      </c>
      <c r="M46" s="381">
        <f>+ROUNDUP(+'L2 ARAG NAVA RIOJ PVASC'!$G$18*'% admitidos'!F46,0)</f>
        <v>0</v>
      </c>
      <c r="O46" s="382">
        <f t="shared" si="10"/>
        <v>0</v>
      </c>
    </row>
    <row r="47" spans="1:15" x14ac:dyDescent="0.25">
      <c r="A47" s="387" t="s">
        <v>351</v>
      </c>
      <c r="B47" s="388"/>
      <c r="C47" s="388"/>
      <c r="D47" s="383">
        <f>SUM(D29:D46)</f>
        <v>1</v>
      </c>
      <c r="E47" s="383">
        <f>+SUM(E29:E46)</f>
        <v>1</v>
      </c>
      <c r="F47" s="383">
        <f>SUM(F29:F46)</f>
        <v>0.99999999999999989</v>
      </c>
      <c r="G47" s="388"/>
      <c r="H47" s="388"/>
      <c r="I47" s="388"/>
      <c r="K47" s="385">
        <f>SUM(K29:K46)</f>
        <v>0</v>
      </c>
      <c r="L47" s="385">
        <f>SUM(L29:L46)</f>
        <v>0</v>
      </c>
      <c r="M47" s="385">
        <f>SUM(M29:M46)</f>
        <v>0</v>
      </c>
    </row>
    <row r="48" spans="1:15" x14ac:dyDescent="0.25">
      <c r="A48" s="370" t="s">
        <v>59</v>
      </c>
      <c r="B48" s="370" t="s">
        <v>61</v>
      </c>
      <c r="C48" s="371" t="s">
        <v>60</v>
      </c>
      <c r="D48" s="390" t="s">
        <v>121</v>
      </c>
      <c r="E48" s="390" t="s">
        <v>123</v>
      </c>
      <c r="F48" s="390" t="s">
        <v>122</v>
      </c>
      <c r="H48" s="373">
        <v>0.02</v>
      </c>
      <c r="I48" s="373">
        <v>0.02</v>
      </c>
    </row>
    <row r="49" spans="1:15" x14ac:dyDescent="0.25">
      <c r="A49" s="387" t="s">
        <v>162</v>
      </c>
      <c r="B49" s="376"/>
      <c r="C49" s="387"/>
      <c r="D49" s="377"/>
      <c r="E49" s="377"/>
      <c r="F49" s="377"/>
      <c r="J49" s="378">
        <f>+MAX(E51:E59)</f>
        <v>0.23499999999999999</v>
      </c>
    </row>
    <row r="50" spans="1:15" x14ac:dyDescent="0.25">
      <c r="A50" s="370" t="s">
        <v>62</v>
      </c>
      <c r="B50" s="389" t="s">
        <v>163</v>
      </c>
      <c r="C50" s="371"/>
      <c r="D50" s="377"/>
      <c r="E50" s="377"/>
      <c r="F50" s="377"/>
    </row>
    <row r="51" spans="1:15" x14ac:dyDescent="0.25">
      <c r="A51" s="370" t="s">
        <v>164</v>
      </c>
      <c r="B51" s="389" t="s">
        <v>165</v>
      </c>
      <c r="C51" s="371" t="s">
        <v>65</v>
      </c>
      <c r="D51" s="377">
        <f>+ROUND((E51*(1-$H$48)),4)</f>
        <v>3.7199999999999997E-2</v>
      </c>
      <c r="E51" s="377">
        <v>3.7999999999999999E-2</v>
      </c>
      <c r="F51" s="377">
        <f>+ROUND((E51*(1+$I$48)),4)</f>
        <v>3.8800000000000001E-2</v>
      </c>
      <c r="J51" s="378"/>
      <c r="K51" s="381">
        <f>+ROUNDDOWN(+'L3 MADR (Prado Rey)'!$G$18*'% admitidos'!D51,0)</f>
        <v>0</v>
      </c>
      <c r="L51" s="381">
        <f>+ROUND(+'L3 MADR (Prado Rey)'!$G$18*'% admitidos'!E51,0)</f>
        <v>0</v>
      </c>
      <c r="M51" s="381">
        <f>+ROUNDUP(+'L3 MADR (Prado Rey)'!$G$18*'% admitidos'!F51,0)</f>
        <v>0</v>
      </c>
      <c r="O51" s="382">
        <f t="shared" ref="O51" si="11">+M51-K51</f>
        <v>0</v>
      </c>
    </row>
    <row r="52" spans="1:15" x14ac:dyDescent="0.25">
      <c r="A52" s="370" t="s">
        <v>166</v>
      </c>
      <c r="B52" s="389" t="s">
        <v>167</v>
      </c>
      <c r="C52" s="371" t="s">
        <v>65</v>
      </c>
      <c r="D52" s="377">
        <f t="shared" ref="D52:D59" si="12">+ROUND((E52*(1-$H$48)),4)</f>
        <v>4.3099999999999999E-2</v>
      </c>
      <c r="E52" s="377">
        <v>4.3999999999999997E-2</v>
      </c>
      <c r="F52" s="377">
        <f t="shared" ref="F52:F59" si="13">+ROUND((E52*(1+$I$48)),4)</f>
        <v>4.4900000000000002E-2</v>
      </c>
      <c r="K52" s="381">
        <f>+ROUNDDOWN(+'L3 MADR (Prado Rey)'!$G$18*'% admitidos'!D52,0)</f>
        <v>0</v>
      </c>
      <c r="L52" s="381">
        <f>+ROUND(+'L3 MADR (Prado Rey)'!$G$18*'% admitidos'!E52,0)</f>
        <v>0</v>
      </c>
      <c r="M52" s="381">
        <f>+ROUNDUP(+'L3 MADR (Prado Rey)'!$G$18*'% admitidos'!F52,0)</f>
        <v>0</v>
      </c>
      <c r="O52" s="382">
        <f t="shared" ref="O52:O59" si="14">+M52-K52</f>
        <v>0</v>
      </c>
    </row>
    <row r="53" spans="1:15" x14ac:dyDescent="0.25">
      <c r="A53" s="370" t="s">
        <v>168</v>
      </c>
      <c r="B53" s="389" t="s">
        <v>169</v>
      </c>
      <c r="C53" s="371" t="s">
        <v>65</v>
      </c>
      <c r="D53" s="377">
        <f>1-SUM(D51:D52)-SUM(D54:D59)</f>
        <v>0.25029999999999997</v>
      </c>
      <c r="E53" s="377">
        <v>0.23499999999999999</v>
      </c>
      <c r="F53" s="377">
        <f>1-SUM(F51:F52)-SUM(F54:F59)</f>
        <v>0.21970000000000001</v>
      </c>
      <c r="K53" s="385">
        <f>+'L3 MADR (Prado Rey)'!$G$18-SUM(K51:K52)-SUM(K54:K59)</f>
        <v>0</v>
      </c>
      <c r="L53" s="385">
        <f>+'L3 MADR (Prado Rey)'!$G$18-SUM(L51:L52)-SUM(L54:L59)</f>
        <v>0</v>
      </c>
      <c r="M53" s="385">
        <f>+'L3 MADR (Prado Rey)'!$G$18-SUM(M51:M52)-SUM(M54:M59)</f>
        <v>0</v>
      </c>
      <c r="O53" s="386">
        <f>-(+M53-K53)</f>
        <v>0</v>
      </c>
    </row>
    <row r="54" spans="1:15" x14ac:dyDescent="0.25">
      <c r="A54" s="370" t="s">
        <v>170</v>
      </c>
      <c r="B54" s="389" t="s">
        <v>171</v>
      </c>
      <c r="C54" s="371" t="s">
        <v>65</v>
      </c>
      <c r="D54" s="377">
        <f t="shared" si="12"/>
        <v>6.4699999999999994E-2</v>
      </c>
      <c r="E54" s="377">
        <v>6.6000000000000003E-2</v>
      </c>
      <c r="F54" s="377">
        <f t="shared" si="13"/>
        <v>6.7299999999999999E-2</v>
      </c>
      <c r="K54" s="381">
        <f>+ROUNDDOWN(+'L3 MADR (Prado Rey)'!$G$18*'% admitidos'!D54,0)</f>
        <v>0</v>
      </c>
      <c r="L54" s="381">
        <f>+ROUND(+'L3 MADR (Prado Rey)'!$G$18*'% admitidos'!E54,0)</f>
        <v>0</v>
      </c>
      <c r="M54" s="381">
        <f>+ROUNDUP(+'L3 MADR (Prado Rey)'!$G$18*'% admitidos'!F54,0)</f>
        <v>0</v>
      </c>
      <c r="O54" s="382">
        <f t="shared" si="14"/>
        <v>0</v>
      </c>
    </row>
    <row r="55" spans="1:15" x14ac:dyDescent="0.25">
      <c r="A55" s="370" t="s">
        <v>172</v>
      </c>
      <c r="B55" s="389" t="s">
        <v>173</v>
      </c>
      <c r="C55" s="371" t="s">
        <v>65</v>
      </c>
      <c r="D55" s="377">
        <f t="shared" si="12"/>
        <v>0.21560000000000001</v>
      </c>
      <c r="E55" s="377">
        <v>0.22</v>
      </c>
      <c r="F55" s="377">
        <f t="shared" si="13"/>
        <v>0.22439999999999999</v>
      </c>
      <c r="K55" s="381">
        <f>+ROUNDDOWN(+'L3 MADR (Prado Rey)'!$G$18*'% admitidos'!D55,0)</f>
        <v>0</v>
      </c>
      <c r="L55" s="381">
        <f>+ROUND(+'L3 MADR (Prado Rey)'!$G$18*'% admitidos'!E55,0)</f>
        <v>0</v>
      </c>
      <c r="M55" s="381">
        <f>+ROUNDUP(+'L3 MADR (Prado Rey)'!$G$18*'% admitidos'!F55,0)</f>
        <v>0</v>
      </c>
      <c r="O55" s="382">
        <f t="shared" si="14"/>
        <v>0</v>
      </c>
    </row>
    <row r="56" spans="1:15" x14ac:dyDescent="0.25">
      <c r="A56" s="370" t="s">
        <v>174</v>
      </c>
      <c r="B56" s="389" t="s">
        <v>175</v>
      </c>
      <c r="C56" s="371" t="s">
        <v>65</v>
      </c>
      <c r="D56" s="377">
        <f t="shared" si="12"/>
        <v>2.6499999999999999E-2</v>
      </c>
      <c r="E56" s="377">
        <v>2.7E-2</v>
      </c>
      <c r="F56" s="377">
        <f t="shared" si="13"/>
        <v>2.75E-2</v>
      </c>
      <c r="K56" s="381">
        <f>+ROUNDDOWN(+'L3 MADR (Prado Rey)'!$G$18*'% admitidos'!D56,0)</f>
        <v>0</v>
      </c>
      <c r="L56" s="381">
        <f>+ROUND(+'L3 MADR (Prado Rey)'!$G$18*'% admitidos'!E56,0)</f>
        <v>0</v>
      </c>
      <c r="M56" s="381">
        <f>+ROUNDUP(+'L3 MADR (Prado Rey)'!$G$18*'% admitidos'!F56,0)</f>
        <v>0</v>
      </c>
      <c r="O56" s="382">
        <f t="shared" si="14"/>
        <v>0</v>
      </c>
    </row>
    <row r="57" spans="1:15" x14ac:dyDescent="0.25">
      <c r="A57" s="370" t="s">
        <v>176</v>
      </c>
      <c r="B57" s="389" t="s">
        <v>177</v>
      </c>
      <c r="C57" s="371" t="s">
        <v>65</v>
      </c>
      <c r="D57" s="377">
        <f t="shared" si="12"/>
        <v>3.3300000000000003E-2</v>
      </c>
      <c r="E57" s="377">
        <v>3.4000000000000002E-2</v>
      </c>
      <c r="F57" s="377">
        <f t="shared" si="13"/>
        <v>3.4700000000000002E-2</v>
      </c>
      <c r="K57" s="381">
        <f>+ROUNDDOWN(+'L3 MADR (Prado Rey)'!$G$18*'% admitidos'!D57,0)</f>
        <v>0</v>
      </c>
      <c r="L57" s="381">
        <f>+ROUND(+'L3 MADR (Prado Rey)'!$G$18*'% admitidos'!E57,0)</f>
        <v>0</v>
      </c>
      <c r="M57" s="381">
        <f>+ROUNDUP(+'L3 MADR (Prado Rey)'!$G$18*'% admitidos'!F57,0)</f>
        <v>0</v>
      </c>
      <c r="O57" s="382">
        <f t="shared" si="14"/>
        <v>0</v>
      </c>
    </row>
    <row r="58" spans="1:15" x14ac:dyDescent="0.25">
      <c r="A58" s="370" t="s">
        <v>178</v>
      </c>
      <c r="B58" s="389" t="s">
        <v>179</v>
      </c>
      <c r="C58" s="371" t="s">
        <v>65</v>
      </c>
      <c r="D58" s="377">
        <f t="shared" si="12"/>
        <v>0.10979999999999999</v>
      </c>
      <c r="E58" s="377">
        <v>0.112</v>
      </c>
      <c r="F58" s="377">
        <f t="shared" si="13"/>
        <v>0.1142</v>
      </c>
      <c r="K58" s="381">
        <f>+ROUNDDOWN(+'L3 MADR (Prado Rey)'!$G$18*'% admitidos'!D58,0)</f>
        <v>0</v>
      </c>
      <c r="L58" s="381">
        <f>+ROUND(+'L3 MADR (Prado Rey)'!$G$18*'% admitidos'!E58,0)</f>
        <v>0</v>
      </c>
      <c r="M58" s="381">
        <f>+ROUNDUP(+'L3 MADR (Prado Rey)'!$G$18*'% admitidos'!F58,0)</f>
        <v>0</v>
      </c>
      <c r="O58" s="382">
        <f t="shared" si="14"/>
        <v>0</v>
      </c>
    </row>
    <row r="59" spans="1:15" x14ac:dyDescent="0.25">
      <c r="A59" s="370" t="s">
        <v>180</v>
      </c>
      <c r="B59" s="389" t="s">
        <v>181</v>
      </c>
      <c r="C59" s="371" t="s">
        <v>65</v>
      </c>
      <c r="D59" s="377">
        <f t="shared" si="12"/>
        <v>0.2195</v>
      </c>
      <c r="E59" s="377">
        <v>0.224</v>
      </c>
      <c r="F59" s="377">
        <f t="shared" si="13"/>
        <v>0.22850000000000001</v>
      </c>
      <c r="K59" s="381">
        <f>+ROUNDDOWN(+'L3 MADR (Prado Rey)'!$G$18*'% admitidos'!D59,0)</f>
        <v>0</v>
      </c>
      <c r="L59" s="381">
        <f>+ROUND(+'L3 MADR (Prado Rey)'!$G$18*'% admitidos'!E59,0)</f>
        <v>0</v>
      </c>
      <c r="M59" s="381">
        <f>+ROUNDUP(+'L3 MADR (Prado Rey)'!$G$18*'% admitidos'!F59,0)</f>
        <v>0</v>
      </c>
      <c r="O59" s="382">
        <f t="shared" si="14"/>
        <v>0</v>
      </c>
    </row>
    <row r="60" spans="1:15" x14ac:dyDescent="0.25">
      <c r="A60" s="387" t="s">
        <v>352</v>
      </c>
      <c r="B60" s="388"/>
      <c r="C60" s="388"/>
      <c r="D60" s="383">
        <f>SUM(D51:D59)</f>
        <v>1</v>
      </c>
      <c r="E60" s="383">
        <f>+SUM(E51:E59)</f>
        <v>1</v>
      </c>
      <c r="F60" s="383">
        <f>SUM(F51:F59)</f>
        <v>0.99999999999999989</v>
      </c>
      <c r="G60" s="388"/>
      <c r="H60" s="388"/>
      <c r="I60" s="388"/>
      <c r="K60" s="385">
        <f>SUM(K51:K59)</f>
        <v>0</v>
      </c>
      <c r="L60" s="385">
        <f>SUM(L51:L59)</f>
        <v>0</v>
      </c>
      <c r="M60" s="385">
        <f>SUM(M51:M59)</f>
        <v>0</v>
      </c>
    </row>
    <row r="61" spans="1:15" ht="18.75" x14ac:dyDescent="0.3">
      <c r="A61" s="370" t="s">
        <v>59</v>
      </c>
      <c r="B61" s="370" t="s">
        <v>61</v>
      </c>
      <c r="C61" s="371" t="s">
        <v>60</v>
      </c>
      <c r="D61" s="390" t="s">
        <v>121</v>
      </c>
      <c r="E61" s="390" t="s">
        <v>123</v>
      </c>
      <c r="F61" s="390" t="s">
        <v>122</v>
      </c>
      <c r="H61" s="391">
        <v>0.02</v>
      </c>
      <c r="I61" s="391">
        <v>0.02</v>
      </c>
      <c r="K61" s="366" t="s">
        <v>369</v>
      </c>
      <c r="L61" s="366" t="s">
        <v>367</v>
      </c>
      <c r="M61" s="366" t="s">
        <v>368</v>
      </c>
      <c r="O61" s="374" t="s">
        <v>388</v>
      </c>
    </row>
    <row r="62" spans="1:15" x14ac:dyDescent="0.25">
      <c r="A62" s="387" t="s">
        <v>182</v>
      </c>
      <c r="B62" s="376"/>
      <c r="C62" s="387"/>
      <c r="D62" s="377"/>
      <c r="E62" s="377"/>
      <c r="F62" s="377"/>
      <c r="J62" s="378">
        <f>+MAX(E64:E71)</f>
        <v>0.35499999999999998</v>
      </c>
      <c r="O62" s="374"/>
    </row>
    <row r="63" spans="1:15" x14ac:dyDescent="0.25">
      <c r="A63" s="370" t="s">
        <v>62</v>
      </c>
      <c r="B63" s="389" t="s">
        <v>163</v>
      </c>
      <c r="C63" s="371"/>
      <c r="D63" s="377"/>
      <c r="E63" s="377"/>
      <c r="F63" s="377"/>
      <c r="O63" s="374"/>
    </row>
    <row r="64" spans="1:15" ht="15.75" x14ac:dyDescent="0.25">
      <c r="A64" s="370" t="s">
        <v>183</v>
      </c>
      <c r="B64" s="389" t="s">
        <v>184</v>
      </c>
      <c r="C64" s="371" t="s">
        <v>65</v>
      </c>
      <c r="D64" s="377">
        <f>1-SUM(D65:D71)</f>
        <v>0.3679</v>
      </c>
      <c r="E64" s="392">
        <v>0.35499999999999998</v>
      </c>
      <c r="F64" s="377">
        <f>1-SUM(F65:F71)</f>
        <v>0.34210000000000007</v>
      </c>
      <c r="J64" s="378"/>
      <c r="K64" s="385">
        <f>+'L4 MADR (TorreEspaña y resto)'!$G$18-SUM(K65:K71)</f>
        <v>0</v>
      </c>
      <c r="L64" s="385">
        <f>+'L4 MADR (TorreEspaña y resto)'!$G$18-SUM(L65:L71)</f>
        <v>0</v>
      </c>
      <c r="M64" s="385">
        <f>+'L4 MADR (TorreEspaña y resto)'!$G$18-SUM(M65:M71)</f>
        <v>0</v>
      </c>
      <c r="O64" s="386">
        <f>-(+M64-K64)</f>
        <v>0</v>
      </c>
    </row>
    <row r="65" spans="1:16" x14ac:dyDescent="0.25">
      <c r="A65" s="370" t="s">
        <v>185</v>
      </c>
      <c r="B65" s="389" t="s">
        <v>186</v>
      </c>
      <c r="C65" s="371" t="s">
        <v>65</v>
      </c>
      <c r="D65" s="377">
        <f t="shared" ref="D65:D71" si="15">+ROUND((E65*(1-$H$61)),4)</f>
        <v>0.245</v>
      </c>
      <c r="E65" s="377">
        <v>0.25</v>
      </c>
      <c r="F65" s="377">
        <f t="shared" ref="F65:F71" si="16">+ROUND((E65*(1+$I$61)),4)</f>
        <v>0.255</v>
      </c>
      <c r="K65" s="381">
        <f>+ROUNDDOWN(+'L4 MADR (TorreEspaña y resto)'!$G$18*'% admitidos'!D65,0)</f>
        <v>0</v>
      </c>
      <c r="L65" s="381">
        <f>+ROUND(+'L4 MADR (TorreEspaña y resto)'!$G$18*'% admitidos'!E65,0)</f>
        <v>0</v>
      </c>
      <c r="M65" s="381">
        <f>+ROUNDUP(+'L4 MADR (TorreEspaña y resto)'!$G$18*'% admitidos'!F65,0)</f>
        <v>0</v>
      </c>
      <c r="O65" s="382">
        <f t="shared" ref="O65:O71" si="17">+M65-K65</f>
        <v>0</v>
      </c>
    </row>
    <row r="66" spans="1:16" x14ac:dyDescent="0.25">
      <c r="A66" s="370" t="s">
        <v>187</v>
      </c>
      <c r="B66" s="389" t="s">
        <v>188</v>
      </c>
      <c r="C66" s="371" t="s">
        <v>65</v>
      </c>
      <c r="D66" s="377">
        <f t="shared" si="15"/>
        <v>6.7599999999999993E-2</v>
      </c>
      <c r="E66" s="377">
        <v>6.9000000000000006E-2</v>
      </c>
      <c r="F66" s="377">
        <f t="shared" si="16"/>
        <v>7.0400000000000004E-2</v>
      </c>
      <c r="K66" s="381">
        <f>+ROUNDDOWN(+'L4 MADR (TorreEspaña y resto)'!$G$18*'% admitidos'!D66,0)</f>
        <v>0</v>
      </c>
      <c r="L66" s="381">
        <f>+ROUND(+'L4 MADR (TorreEspaña y resto)'!$G$18*'% admitidos'!E66,0)</f>
        <v>0</v>
      </c>
      <c r="M66" s="381">
        <f>+ROUNDUP(+'L4 MADR (TorreEspaña y resto)'!$G$18*'% admitidos'!F66,0)</f>
        <v>0</v>
      </c>
      <c r="O66" s="382">
        <f t="shared" si="17"/>
        <v>0</v>
      </c>
    </row>
    <row r="67" spans="1:16" x14ac:dyDescent="0.25">
      <c r="A67" s="370" t="s">
        <v>189</v>
      </c>
      <c r="B67" s="389" t="s">
        <v>190</v>
      </c>
      <c r="C67" s="371" t="s">
        <v>65</v>
      </c>
      <c r="D67" s="377">
        <f t="shared" si="15"/>
        <v>0.1205</v>
      </c>
      <c r="E67" s="377">
        <v>0.123</v>
      </c>
      <c r="F67" s="377">
        <f t="shared" si="16"/>
        <v>0.1255</v>
      </c>
      <c r="K67" s="381">
        <f>+ROUNDDOWN(+'L4 MADR (TorreEspaña y resto)'!$G$18*'% admitidos'!D67,0)</f>
        <v>0</v>
      </c>
      <c r="L67" s="381">
        <f>+ROUND(+'L4 MADR (TorreEspaña y resto)'!$G$18*'% admitidos'!E67,0)</f>
        <v>0</v>
      </c>
      <c r="M67" s="381">
        <f>+ROUNDUP(+'L4 MADR (TorreEspaña y resto)'!$G$18*'% admitidos'!F67,0)</f>
        <v>0</v>
      </c>
      <c r="O67" s="382">
        <f t="shared" si="17"/>
        <v>0</v>
      </c>
    </row>
    <row r="68" spans="1:16" x14ac:dyDescent="0.25">
      <c r="A68" s="370" t="s">
        <v>191</v>
      </c>
      <c r="B68" s="389" t="s">
        <v>192</v>
      </c>
      <c r="C68" s="371" t="s">
        <v>65</v>
      </c>
      <c r="D68" s="377">
        <f t="shared" si="15"/>
        <v>7.8399999999999997E-2</v>
      </c>
      <c r="E68" s="377">
        <v>0.08</v>
      </c>
      <c r="F68" s="377">
        <f t="shared" si="16"/>
        <v>8.1600000000000006E-2</v>
      </c>
      <c r="K68" s="381">
        <f>+ROUNDDOWN(+'L4 MADR (TorreEspaña y resto)'!$G$18*'% admitidos'!D68,0)</f>
        <v>0</v>
      </c>
      <c r="L68" s="381">
        <f>+ROUND(+'L4 MADR (TorreEspaña y resto)'!$G$18*'% admitidos'!E68,0)</f>
        <v>0</v>
      </c>
      <c r="M68" s="381">
        <f>+ROUNDUP(+'L4 MADR (TorreEspaña y resto)'!$G$18*'% admitidos'!F68,0)</f>
        <v>0</v>
      </c>
      <c r="O68" s="382">
        <f t="shared" si="17"/>
        <v>0</v>
      </c>
    </row>
    <row r="69" spans="1:16" ht="15.75" x14ac:dyDescent="0.25">
      <c r="A69" s="370" t="s">
        <v>193</v>
      </c>
      <c r="B69" s="389" t="s">
        <v>194</v>
      </c>
      <c r="C69" s="371" t="s">
        <v>65</v>
      </c>
      <c r="D69" s="377">
        <f t="shared" si="15"/>
        <v>9.9000000000000005E-2</v>
      </c>
      <c r="E69" s="392">
        <v>0.10100000000000001</v>
      </c>
      <c r="F69" s="377">
        <f t="shared" si="16"/>
        <v>0.10299999999999999</v>
      </c>
      <c r="K69" s="381">
        <f>+ROUNDDOWN(+'L4 MADR (TorreEspaña y resto)'!$G$18*'% admitidos'!D69,0)</f>
        <v>0</v>
      </c>
      <c r="L69" s="381">
        <f>+ROUND(+'L4 MADR (TorreEspaña y resto)'!$G$18*'% admitidos'!E69,0)</f>
        <v>0</v>
      </c>
      <c r="M69" s="381">
        <f>+ROUNDUP(+'L4 MADR (TorreEspaña y resto)'!$G$18*'% admitidos'!F69,0)</f>
        <v>0</v>
      </c>
      <c r="O69" s="382">
        <f t="shared" si="17"/>
        <v>0</v>
      </c>
    </row>
    <row r="70" spans="1:16" x14ac:dyDescent="0.25">
      <c r="A70" s="370" t="s">
        <v>195</v>
      </c>
      <c r="B70" s="389" t="s">
        <v>196</v>
      </c>
      <c r="C70" s="371" t="s">
        <v>65</v>
      </c>
      <c r="D70" s="377">
        <f t="shared" si="15"/>
        <v>1.0800000000000001E-2</v>
      </c>
      <c r="E70" s="377">
        <v>1.0999999999999999E-2</v>
      </c>
      <c r="F70" s="377">
        <f t="shared" si="16"/>
        <v>1.12E-2</v>
      </c>
      <c r="K70" s="381">
        <f>+ROUNDDOWN(+'L4 MADR (TorreEspaña y resto)'!$G$18*'% admitidos'!D70,0)</f>
        <v>0</v>
      </c>
      <c r="L70" s="381">
        <f>+ROUND(+'L4 MADR (TorreEspaña y resto)'!$G$18*'% admitidos'!E70,0)</f>
        <v>0</v>
      </c>
      <c r="M70" s="381">
        <f>+ROUNDUP(+'L4 MADR (TorreEspaña y resto)'!$G$18*'% admitidos'!F70,0)</f>
        <v>0</v>
      </c>
      <c r="O70" s="382">
        <f t="shared" si="17"/>
        <v>0</v>
      </c>
    </row>
    <row r="71" spans="1:16" x14ac:dyDescent="0.25">
      <c r="A71" s="370" t="s">
        <v>197</v>
      </c>
      <c r="B71" s="389" t="s">
        <v>198</v>
      </c>
      <c r="C71" s="371" t="s">
        <v>84</v>
      </c>
      <c r="D71" s="377">
        <f t="shared" si="15"/>
        <v>1.0800000000000001E-2</v>
      </c>
      <c r="E71" s="377">
        <v>1.0999999999999999E-2</v>
      </c>
      <c r="F71" s="377">
        <f t="shared" si="16"/>
        <v>1.12E-2</v>
      </c>
      <c r="K71" s="381">
        <f>+ROUNDDOWN(+'L4 MADR (TorreEspaña y resto)'!$G$18*'% admitidos'!D71,0)</f>
        <v>0</v>
      </c>
      <c r="L71" s="381">
        <f>+ROUND(+'L4 MADR (TorreEspaña y resto)'!$G$18*'% admitidos'!E71,0)</f>
        <v>0</v>
      </c>
      <c r="M71" s="381">
        <f>+ROUNDUP(+'L4 MADR (TorreEspaña y resto)'!$G$18*'% admitidos'!F71,0)</f>
        <v>0</v>
      </c>
      <c r="O71" s="382">
        <f t="shared" si="17"/>
        <v>0</v>
      </c>
    </row>
    <row r="72" spans="1:16" x14ac:dyDescent="0.25">
      <c r="A72" s="387" t="s">
        <v>353</v>
      </c>
      <c r="B72" s="388"/>
      <c r="C72" s="388"/>
      <c r="D72" s="383">
        <f>SUM(D64:D71)</f>
        <v>1</v>
      </c>
      <c r="E72" s="383">
        <f>+SUM(E64:E71)</f>
        <v>0.99999999999999989</v>
      </c>
      <c r="F72" s="383">
        <f>SUM(F64:F71)</f>
        <v>1.0000000000000002</v>
      </c>
      <c r="G72" s="388"/>
      <c r="H72" s="388"/>
      <c r="I72" s="388"/>
      <c r="K72" s="386">
        <f>SUM(K64:K71)</f>
        <v>0</v>
      </c>
      <c r="L72" s="386">
        <f>SUM(L64:L71)</f>
        <v>0</v>
      </c>
      <c r="M72" s="386">
        <f>SUM(M64:M71)</f>
        <v>0</v>
      </c>
      <c r="P72" s="381"/>
    </row>
    <row r="73" spans="1:16" x14ac:dyDescent="0.25">
      <c r="A73" s="370" t="s">
        <v>59</v>
      </c>
      <c r="B73" s="370" t="s">
        <v>61</v>
      </c>
      <c r="C73" s="371" t="s">
        <v>60</v>
      </c>
      <c r="D73" s="390" t="s">
        <v>121</v>
      </c>
      <c r="E73" s="390" t="s">
        <v>123</v>
      </c>
      <c r="F73" s="390" t="s">
        <v>122</v>
      </c>
      <c r="H73" s="373">
        <v>0.02</v>
      </c>
      <c r="I73" s="373">
        <v>0.02</v>
      </c>
    </row>
    <row r="74" spans="1:16" x14ac:dyDescent="0.25">
      <c r="A74" s="387" t="s">
        <v>199</v>
      </c>
      <c r="B74" s="376"/>
      <c r="C74" s="387"/>
      <c r="D74" s="377"/>
      <c r="E74" s="377"/>
      <c r="F74" s="377"/>
      <c r="J74" s="378">
        <f>+MAX(E76:E96)</f>
        <v>0.23499999999999988</v>
      </c>
    </row>
    <row r="75" spans="1:16" x14ac:dyDescent="0.25">
      <c r="A75" s="370" t="s">
        <v>62</v>
      </c>
      <c r="B75" s="389" t="s">
        <v>200</v>
      </c>
      <c r="C75" s="371"/>
      <c r="D75" s="377"/>
      <c r="E75" s="377"/>
      <c r="F75" s="377"/>
    </row>
    <row r="76" spans="1:16" x14ac:dyDescent="0.25">
      <c r="A76" s="370" t="s">
        <v>201</v>
      </c>
      <c r="B76" s="389" t="s">
        <v>202</v>
      </c>
      <c r="C76" s="371" t="s">
        <v>65</v>
      </c>
      <c r="D76" s="377">
        <f>+ROUND((E76*(1-$H$73)),4)</f>
        <v>3.8199999999999998E-2</v>
      </c>
      <c r="E76" s="377">
        <v>3.9E-2</v>
      </c>
      <c r="F76" s="377">
        <f>+ROUND((E76*(1+$I$73)),4)</f>
        <v>3.9800000000000002E-2</v>
      </c>
      <c r="J76" s="378"/>
      <c r="K76" s="381">
        <f>+ROUNDDOWN(+'L5 VALE CMAN BALE MURC'!$G$18*'% admitidos'!D76,0)</f>
        <v>0</v>
      </c>
      <c r="L76" s="381">
        <f>+ROUND(+'L5 VALE CMAN BALE MURC'!$G$18*'% admitidos'!E76,0)</f>
        <v>0</v>
      </c>
      <c r="M76" s="381">
        <f>+ROUNDUP(+'L5 VALE CMAN BALE MURC'!$G$18*'% admitidos'!F76,0)</f>
        <v>0</v>
      </c>
      <c r="O76" s="382">
        <f t="shared" ref="O76" si="18">+M76-K76</f>
        <v>0</v>
      </c>
    </row>
    <row r="77" spans="1:16" x14ac:dyDescent="0.25">
      <c r="A77" s="370" t="s">
        <v>203</v>
      </c>
      <c r="B77" s="389" t="s">
        <v>204</v>
      </c>
      <c r="C77" s="371" t="s">
        <v>65</v>
      </c>
      <c r="D77" s="377">
        <f t="shared" ref="D77:D96" si="19">+ROUND((E77*(1-$H$73)),4)</f>
        <v>5.0999999999999997E-2</v>
      </c>
      <c r="E77" s="377">
        <v>5.1999999999999998E-2</v>
      </c>
      <c r="F77" s="377">
        <f t="shared" ref="F77:F96" si="20">+ROUND((E77*(1+$I$73)),4)</f>
        <v>5.2999999999999999E-2</v>
      </c>
      <c r="K77" s="381">
        <f>+ROUNDDOWN(+'L5 VALE CMAN BALE MURC'!$G$18*'% admitidos'!D77,0)</f>
        <v>0</v>
      </c>
      <c r="L77" s="381">
        <f>+ROUND(+'L5 VALE CMAN BALE MURC'!$G$18*'% admitidos'!E77,0)</f>
        <v>0</v>
      </c>
      <c r="M77" s="381">
        <f>+ROUNDUP(+'L5 VALE CMAN BALE MURC'!$G$18*'% admitidos'!F77,0)</f>
        <v>0</v>
      </c>
      <c r="O77" s="382">
        <f t="shared" ref="O77:O80" si="21">+M77-K77</f>
        <v>0</v>
      </c>
    </row>
    <row r="78" spans="1:16" x14ac:dyDescent="0.25">
      <c r="A78" s="370" t="s">
        <v>205</v>
      </c>
      <c r="B78" s="389" t="s">
        <v>206</v>
      </c>
      <c r="C78" s="371" t="s">
        <v>84</v>
      </c>
      <c r="D78" s="377">
        <f t="shared" si="19"/>
        <v>3.4299999999999997E-2</v>
      </c>
      <c r="E78" s="377">
        <v>3.5000000000000003E-2</v>
      </c>
      <c r="F78" s="377">
        <f t="shared" si="20"/>
        <v>3.5700000000000003E-2</v>
      </c>
      <c r="K78" s="381">
        <f>+ROUNDDOWN(+'L5 VALE CMAN BALE MURC'!$G$18*'% admitidos'!D78,0)</f>
        <v>0</v>
      </c>
      <c r="L78" s="381">
        <f>+ROUND(+'L5 VALE CMAN BALE MURC'!$G$18*'% admitidos'!E78,0)</f>
        <v>0</v>
      </c>
      <c r="M78" s="381">
        <f>+ROUNDUP(+'L5 VALE CMAN BALE MURC'!$G$18*'% admitidos'!F78,0)</f>
        <v>0</v>
      </c>
      <c r="O78" s="382">
        <f t="shared" si="21"/>
        <v>0</v>
      </c>
    </row>
    <row r="79" spans="1:16" x14ac:dyDescent="0.25">
      <c r="A79" s="370" t="s">
        <v>207</v>
      </c>
      <c r="B79" s="389" t="s">
        <v>208</v>
      </c>
      <c r="C79" s="371" t="s">
        <v>84</v>
      </c>
      <c r="D79" s="377">
        <f t="shared" si="19"/>
        <v>1.5699999999999999E-2</v>
      </c>
      <c r="E79" s="377">
        <v>1.6E-2</v>
      </c>
      <c r="F79" s="377">
        <f t="shared" si="20"/>
        <v>1.6299999999999999E-2</v>
      </c>
      <c r="K79" s="381">
        <f>+ROUNDDOWN(+'L5 VALE CMAN BALE MURC'!$G$18*'% admitidos'!D79,0)</f>
        <v>0</v>
      </c>
      <c r="L79" s="381">
        <f>+ROUND(+'L5 VALE CMAN BALE MURC'!$G$18*'% admitidos'!E79,0)</f>
        <v>0</v>
      </c>
      <c r="M79" s="381">
        <f>+ROUNDUP(+'L5 VALE CMAN BALE MURC'!$G$18*'% admitidos'!F79,0)</f>
        <v>0</v>
      </c>
      <c r="O79" s="382">
        <f t="shared" si="21"/>
        <v>0</v>
      </c>
    </row>
    <row r="80" spans="1:16" x14ac:dyDescent="0.25">
      <c r="A80" s="370" t="s">
        <v>209</v>
      </c>
      <c r="B80" s="389" t="s">
        <v>210</v>
      </c>
      <c r="C80" s="371" t="s">
        <v>84</v>
      </c>
      <c r="D80" s="377">
        <f t="shared" si="19"/>
        <v>1.5699999999999999E-2</v>
      </c>
      <c r="E80" s="377">
        <v>1.6E-2</v>
      </c>
      <c r="F80" s="377">
        <f t="shared" si="20"/>
        <v>1.6299999999999999E-2</v>
      </c>
      <c r="K80" s="381">
        <f>+ROUNDDOWN(+'L5 VALE CMAN BALE MURC'!$G$18*'% admitidos'!D80,0)</f>
        <v>0</v>
      </c>
      <c r="L80" s="381">
        <f>+ROUND(+'L5 VALE CMAN BALE MURC'!$G$18*'% admitidos'!E80,0)</f>
        <v>0</v>
      </c>
      <c r="M80" s="381">
        <f>+ROUNDUP(+'L5 VALE CMAN BALE MURC'!$G$18*'% admitidos'!F80,0)</f>
        <v>0</v>
      </c>
      <c r="O80" s="382">
        <f t="shared" si="21"/>
        <v>0</v>
      </c>
    </row>
    <row r="81" spans="1:15" x14ac:dyDescent="0.25">
      <c r="A81" s="370" t="s">
        <v>62</v>
      </c>
      <c r="B81" s="389" t="s">
        <v>211</v>
      </c>
      <c r="C81" s="371"/>
      <c r="D81" s="377"/>
      <c r="E81" s="377"/>
      <c r="F81" s="377"/>
    </row>
    <row r="82" spans="1:15" x14ac:dyDescent="0.25">
      <c r="A82" s="370" t="s">
        <v>212</v>
      </c>
      <c r="B82" s="389" t="s">
        <v>213</v>
      </c>
      <c r="C82" s="371" t="s">
        <v>65</v>
      </c>
      <c r="D82" s="377">
        <f t="shared" si="19"/>
        <v>7.9399999999999998E-2</v>
      </c>
      <c r="E82" s="377">
        <v>8.1000000000000003E-2</v>
      </c>
      <c r="F82" s="377">
        <f t="shared" si="20"/>
        <v>8.2600000000000007E-2</v>
      </c>
      <c r="K82" s="381">
        <f>+ROUNDDOWN(+'L5 VALE CMAN BALE MURC'!$G$18*'% admitidos'!D82,0)</f>
        <v>0</v>
      </c>
      <c r="L82" s="381">
        <f>+ROUND(+'L5 VALE CMAN BALE MURC'!$G$18*'% admitidos'!E82,0)</f>
        <v>0</v>
      </c>
      <c r="M82" s="381">
        <f>+ROUNDUP(+'L5 VALE CMAN BALE MURC'!$G$18*'% admitidos'!F82,0)</f>
        <v>0</v>
      </c>
      <c r="O82" s="382">
        <f t="shared" ref="O82:O88" si="22">+M82-K82</f>
        <v>0</v>
      </c>
    </row>
    <row r="83" spans="1:15" x14ac:dyDescent="0.25">
      <c r="A83" s="370" t="s">
        <v>214</v>
      </c>
      <c r="B83" s="389" t="s">
        <v>216</v>
      </c>
      <c r="C83" s="371" t="s">
        <v>215</v>
      </c>
      <c r="D83" s="377">
        <f>1-SUM(D76:D82)-SUM(D84:D96)</f>
        <v>0.25020000000000009</v>
      </c>
      <c r="E83" s="377">
        <f>1-SUM(E76:E82)-SUM(E84:E96)</f>
        <v>0.23499999999999988</v>
      </c>
      <c r="F83" s="377">
        <f>1-SUM(F76:F82)-SUM(F84:F96)</f>
        <v>0.21980000000000011</v>
      </c>
      <c r="K83" s="385">
        <f>+'L5 VALE CMAN BALE MURC'!$G$18-SUM(K76:K82)-SUM(K84:K96)</f>
        <v>0</v>
      </c>
      <c r="L83" s="385">
        <f>+'L5 VALE CMAN BALE MURC'!$G$18-SUM(L76:L82)-SUM(L84:L96)</f>
        <v>0</v>
      </c>
      <c r="M83" s="385">
        <f>+'L5 VALE CMAN BALE MURC'!$G$18-SUM(M76:M82)-SUM(M84:M96)</f>
        <v>0</v>
      </c>
      <c r="O83" s="386">
        <f>-(+M83-K83)</f>
        <v>0</v>
      </c>
    </row>
    <row r="84" spans="1:15" x14ac:dyDescent="0.25">
      <c r="A84" s="370" t="s">
        <v>217</v>
      </c>
      <c r="B84" s="389" t="s">
        <v>218</v>
      </c>
      <c r="C84" s="371" t="s">
        <v>215</v>
      </c>
      <c r="D84" s="377">
        <f t="shared" si="19"/>
        <v>3.4299999999999997E-2</v>
      </c>
      <c r="E84" s="377">
        <v>3.5000000000000003E-2</v>
      </c>
      <c r="F84" s="377">
        <f t="shared" si="20"/>
        <v>3.5700000000000003E-2</v>
      </c>
      <c r="K84" s="381">
        <f>+ROUNDDOWN(+'L5 VALE CMAN BALE MURC'!$G$18*'% admitidos'!D84,0)</f>
        <v>0</v>
      </c>
      <c r="L84" s="381">
        <f>+ROUND(+'L5 VALE CMAN BALE MURC'!$G$18*'% admitidos'!E84,0)</f>
        <v>0</v>
      </c>
      <c r="M84" s="381">
        <f>+ROUNDUP(+'L5 VALE CMAN BALE MURC'!$G$18*'% admitidos'!F84,0)</f>
        <v>0</v>
      </c>
      <c r="O84" s="382">
        <f t="shared" si="22"/>
        <v>0</v>
      </c>
    </row>
    <row r="85" spans="1:15" x14ac:dyDescent="0.25">
      <c r="A85" s="370" t="s">
        <v>219</v>
      </c>
      <c r="B85" s="389" t="s">
        <v>220</v>
      </c>
      <c r="C85" s="371" t="s">
        <v>215</v>
      </c>
      <c r="D85" s="377">
        <f t="shared" si="19"/>
        <v>9.2100000000000001E-2</v>
      </c>
      <c r="E85" s="377">
        <v>9.4E-2</v>
      </c>
      <c r="F85" s="377">
        <f t="shared" si="20"/>
        <v>9.5899999999999999E-2</v>
      </c>
      <c r="K85" s="381">
        <f>+ROUNDDOWN(+'L5 VALE CMAN BALE MURC'!$G$18*'% admitidos'!D85,0)</f>
        <v>0</v>
      </c>
      <c r="L85" s="381">
        <f>+ROUND(+'L5 VALE CMAN BALE MURC'!$G$18*'% admitidos'!E85,0)</f>
        <v>0</v>
      </c>
      <c r="M85" s="381">
        <f>+ROUNDUP(+'L5 VALE CMAN BALE MURC'!$G$18*'% admitidos'!F85,0)</f>
        <v>0</v>
      </c>
      <c r="O85" s="382">
        <f t="shared" si="22"/>
        <v>0</v>
      </c>
    </row>
    <row r="86" spans="1:15" x14ac:dyDescent="0.25">
      <c r="A86" s="370" t="s">
        <v>221</v>
      </c>
      <c r="B86" s="389" t="s">
        <v>222</v>
      </c>
      <c r="C86" s="371" t="s">
        <v>84</v>
      </c>
      <c r="D86" s="377">
        <f t="shared" si="19"/>
        <v>2.5499999999999998E-2</v>
      </c>
      <c r="E86" s="377">
        <v>2.5999999999999999E-2</v>
      </c>
      <c r="F86" s="377">
        <f t="shared" si="20"/>
        <v>2.6499999999999999E-2</v>
      </c>
      <c r="K86" s="381">
        <f>+ROUNDDOWN(+'L5 VALE CMAN BALE MURC'!$G$18*'% admitidos'!D86,0)</f>
        <v>0</v>
      </c>
      <c r="L86" s="381">
        <f>+ROUND(+'L5 VALE CMAN BALE MURC'!$G$18*'% admitidos'!E86,0)</f>
        <v>0</v>
      </c>
      <c r="M86" s="381">
        <f>+ROUNDUP(+'L5 VALE CMAN BALE MURC'!$G$18*'% admitidos'!F86,0)</f>
        <v>0</v>
      </c>
      <c r="O86" s="382">
        <f t="shared" si="22"/>
        <v>0</v>
      </c>
    </row>
    <row r="87" spans="1:15" x14ac:dyDescent="0.25">
      <c r="A87" s="370" t="s">
        <v>223</v>
      </c>
      <c r="B87" s="389" t="s">
        <v>224</v>
      </c>
      <c r="C87" s="371" t="s">
        <v>84</v>
      </c>
      <c r="D87" s="377">
        <f t="shared" si="19"/>
        <v>2.2499999999999999E-2</v>
      </c>
      <c r="E87" s="377">
        <v>2.3E-2</v>
      </c>
      <c r="F87" s="377">
        <f t="shared" si="20"/>
        <v>2.35E-2</v>
      </c>
      <c r="K87" s="381">
        <f>+ROUNDDOWN(+'L5 VALE CMAN BALE MURC'!$G$18*'% admitidos'!D87,0)</f>
        <v>0</v>
      </c>
      <c r="L87" s="381">
        <f>+ROUND(+'L5 VALE CMAN BALE MURC'!$G$18*'% admitidos'!E87,0)</f>
        <v>0</v>
      </c>
      <c r="M87" s="381">
        <f>+ROUNDUP(+'L5 VALE CMAN BALE MURC'!$G$18*'% admitidos'!F87,0)</f>
        <v>0</v>
      </c>
      <c r="O87" s="382">
        <f t="shared" si="22"/>
        <v>0</v>
      </c>
    </row>
    <row r="88" spans="1:15" x14ac:dyDescent="0.25">
      <c r="A88" s="370" t="s">
        <v>225</v>
      </c>
      <c r="B88" s="389" t="s">
        <v>226</v>
      </c>
      <c r="C88" s="371" t="s">
        <v>84</v>
      </c>
      <c r="D88" s="377">
        <f t="shared" si="19"/>
        <v>1.5699999999999999E-2</v>
      </c>
      <c r="E88" s="377">
        <v>1.6E-2</v>
      </c>
      <c r="F88" s="377">
        <f t="shared" si="20"/>
        <v>1.6299999999999999E-2</v>
      </c>
      <c r="K88" s="381">
        <f>+ROUNDDOWN(+'L5 VALE CMAN BALE MURC'!$G$18*'% admitidos'!D88,0)</f>
        <v>0</v>
      </c>
      <c r="L88" s="381">
        <f>+ROUND(+'L5 VALE CMAN BALE MURC'!$G$18*'% admitidos'!E88,0)</f>
        <v>0</v>
      </c>
      <c r="M88" s="381">
        <f>+ROUNDUP(+'L5 VALE CMAN BALE MURC'!$G$18*'% admitidos'!F88,0)</f>
        <v>0</v>
      </c>
      <c r="O88" s="382">
        <f t="shared" si="22"/>
        <v>0</v>
      </c>
    </row>
    <row r="89" spans="1:15" x14ac:dyDescent="0.25">
      <c r="A89" s="370" t="s">
        <v>62</v>
      </c>
      <c r="B89" s="389" t="s">
        <v>227</v>
      </c>
      <c r="C89" s="371"/>
      <c r="D89" s="377"/>
      <c r="E89" s="377"/>
      <c r="F89" s="377"/>
    </row>
    <row r="90" spans="1:15" x14ac:dyDescent="0.25">
      <c r="A90" s="370" t="s">
        <v>228</v>
      </c>
      <c r="B90" s="389" t="s">
        <v>229</v>
      </c>
      <c r="C90" s="371" t="s">
        <v>65</v>
      </c>
      <c r="D90" s="377">
        <f t="shared" si="19"/>
        <v>7.2499999999999995E-2</v>
      </c>
      <c r="E90" s="377">
        <v>7.3999999999999996E-2</v>
      </c>
      <c r="F90" s="377">
        <f t="shared" si="20"/>
        <v>7.5499999999999998E-2</v>
      </c>
      <c r="K90" s="381">
        <f>+ROUNDDOWN(+'L5 VALE CMAN BALE MURC'!$G$18*'% admitidos'!D90,0)</f>
        <v>0</v>
      </c>
      <c r="L90" s="381">
        <f>+ROUND(+'L5 VALE CMAN BALE MURC'!$G$18*'% admitidos'!E90,0)</f>
        <v>0</v>
      </c>
      <c r="M90" s="381">
        <f>+ROUNDUP(+'L5 VALE CMAN BALE MURC'!$G$18*'% admitidos'!F90,0)</f>
        <v>0</v>
      </c>
      <c r="O90" s="382">
        <f t="shared" ref="O90:O92" si="23">+M90-K90</f>
        <v>0</v>
      </c>
    </row>
    <row r="91" spans="1:15" x14ac:dyDescent="0.25">
      <c r="A91" s="370" t="s">
        <v>230</v>
      </c>
      <c r="B91" s="389" t="s">
        <v>231</v>
      </c>
      <c r="C91" s="371" t="s">
        <v>215</v>
      </c>
      <c r="D91" s="377">
        <f t="shared" si="19"/>
        <v>7.9399999999999998E-2</v>
      </c>
      <c r="E91" s="377">
        <v>8.1000000000000003E-2</v>
      </c>
      <c r="F91" s="377">
        <f t="shared" si="20"/>
        <v>8.2600000000000007E-2</v>
      </c>
      <c r="K91" s="381">
        <f>+ROUNDDOWN(+'L5 VALE CMAN BALE MURC'!$G$18*'% admitidos'!D91,0)</f>
        <v>0</v>
      </c>
      <c r="L91" s="381">
        <f>+ROUND(+'L5 VALE CMAN BALE MURC'!$G$18*'% admitidos'!E91,0)</f>
        <v>0</v>
      </c>
      <c r="M91" s="381">
        <f>+ROUNDUP(+'L5 VALE CMAN BALE MURC'!$G$18*'% admitidos'!F91,0)</f>
        <v>0</v>
      </c>
      <c r="O91" s="382">
        <f t="shared" si="23"/>
        <v>0</v>
      </c>
    </row>
    <row r="92" spans="1:15" x14ac:dyDescent="0.25">
      <c r="A92" s="370" t="s">
        <v>232</v>
      </c>
      <c r="B92" s="389" t="s">
        <v>233</v>
      </c>
      <c r="C92" s="371" t="s">
        <v>84</v>
      </c>
      <c r="D92" s="377">
        <f t="shared" si="19"/>
        <v>1.5699999999999999E-2</v>
      </c>
      <c r="E92" s="377">
        <v>1.6E-2</v>
      </c>
      <c r="F92" s="377">
        <f t="shared" si="20"/>
        <v>1.6299999999999999E-2</v>
      </c>
      <c r="K92" s="381">
        <f>+ROUNDDOWN(+'L5 VALE CMAN BALE MURC'!$G$18*'% admitidos'!D92,0)</f>
        <v>0</v>
      </c>
      <c r="L92" s="381">
        <f>+ROUND(+'L5 VALE CMAN BALE MURC'!$G$18*'% admitidos'!E92,0)</f>
        <v>0</v>
      </c>
      <c r="M92" s="381">
        <f>+ROUNDUP(+'L5 VALE CMAN BALE MURC'!$G$18*'% admitidos'!F92,0)</f>
        <v>0</v>
      </c>
      <c r="O92" s="382">
        <f t="shared" si="23"/>
        <v>0</v>
      </c>
    </row>
    <row r="93" spans="1:15" x14ac:dyDescent="0.25">
      <c r="A93" s="370" t="s">
        <v>62</v>
      </c>
      <c r="B93" s="389" t="s">
        <v>234</v>
      </c>
      <c r="C93" s="371"/>
      <c r="D93" s="377"/>
      <c r="E93" s="377"/>
      <c r="F93" s="377"/>
    </row>
    <row r="94" spans="1:15" x14ac:dyDescent="0.25">
      <c r="A94" s="370" t="s">
        <v>235</v>
      </c>
      <c r="B94" s="389" t="s">
        <v>236</v>
      </c>
      <c r="C94" s="371" t="s">
        <v>65</v>
      </c>
      <c r="D94" s="377">
        <f t="shared" si="19"/>
        <v>0.10780000000000001</v>
      </c>
      <c r="E94" s="377">
        <v>0.11</v>
      </c>
      <c r="F94" s="377">
        <f t="shared" si="20"/>
        <v>0.11219999999999999</v>
      </c>
      <c r="K94" s="381">
        <f>+ROUNDDOWN(+'L5 VALE CMAN BALE MURC'!$G$18*'% admitidos'!D94,0)</f>
        <v>0</v>
      </c>
      <c r="L94" s="381">
        <f>+ROUND(+'L5 VALE CMAN BALE MURC'!$G$18*'% admitidos'!E94,0)</f>
        <v>0</v>
      </c>
      <c r="M94" s="381">
        <f>+ROUNDUP(+'L5 VALE CMAN BALE MURC'!$G$18*'% admitidos'!F94,0)</f>
        <v>0</v>
      </c>
      <c r="O94" s="382">
        <f t="shared" ref="O94:O96" si="24">+M94-K94</f>
        <v>0</v>
      </c>
    </row>
    <row r="95" spans="1:15" x14ac:dyDescent="0.25">
      <c r="A95" s="370" t="s">
        <v>237</v>
      </c>
      <c r="B95" s="389" t="s">
        <v>238</v>
      </c>
      <c r="C95" s="371" t="s">
        <v>84</v>
      </c>
      <c r="D95" s="377">
        <f t="shared" si="19"/>
        <v>1.5699999999999999E-2</v>
      </c>
      <c r="E95" s="377">
        <v>1.6E-2</v>
      </c>
      <c r="F95" s="377">
        <f t="shared" si="20"/>
        <v>1.6299999999999999E-2</v>
      </c>
      <c r="K95" s="381">
        <f>+ROUNDDOWN(+'L5 VALE CMAN BALE MURC'!$G$18*'% admitidos'!D95,0)</f>
        <v>0</v>
      </c>
      <c r="L95" s="381">
        <f>+ROUND(+'L5 VALE CMAN BALE MURC'!$G$18*'% admitidos'!E95,0)</f>
        <v>0</v>
      </c>
      <c r="M95" s="381">
        <f>+ROUNDUP(+'L5 VALE CMAN BALE MURC'!$G$18*'% admitidos'!F95,0)</f>
        <v>0</v>
      </c>
      <c r="O95" s="382">
        <f t="shared" si="24"/>
        <v>0</v>
      </c>
    </row>
    <row r="96" spans="1:15" x14ac:dyDescent="0.25">
      <c r="A96" s="370" t="s">
        <v>239</v>
      </c>
      <c r="B96" s="389" t="s">
        <v>240</v>
      </c>
      <c r="C96" s="371" t="s">
        <v>84</v>
      </c>
      <c r="D96" s="377">
        <f t="shared" si="19"/>
        <v>3.4299999999999997E-2</v>
      </c>
      <c r="E96" s="377">
        <v>3.5000000000000003E-2</v>
      </c>
      <c r="F96" s="377">
        <f t="shared" si="20"/>
        <v>3.5700000000000003E-2</v>
      </c>
      <c r="K96" s="381">
        <f>+ROUNDDOWN(+'L5 VALE CMAN BALE MURC'!$G$18*'% admitidos'!D96,0)</f>
        <v>0</v>
      </c>
      <c r="L96" s="381">
        <f>+ROUND(+'L5 VALE CMAN BALE MURC'!$G$18*'% admitidos'!E96,0)</f>
        <v>0</v>
      </c>
      <c r="M96" s="381">
        <f>+ROUNDUP(+'L5 VALE CMAN BALE MURC'!$G$18*'% admitidos'!F96,0)</f>
        <v>0</v>
      </c>
      <c r="O96" s="382">
        <f t="shared" si="24"/>
        <v>0</v>
      </c>
    </row>
    <row r="97" spans="1:15" x14ac:dyDescent="0.25">
      <c r="A97" s="387" t="s">
        <v>354</v>
      </c>
      <c r="B97" s="388"/>
      <c r="C97" s="388"/>
      <c r="D97" s="383">
        <f>SUM(D76:D96)</f>
        <v>1</v>
      </c>
      <c r="E97" s="383">
        <f>+SUM(E76:E96)</f>
        <v>0.99999999999999989</v>
      </c>
      <c r="F97" s="383">
        <f>SUM(F76:F96)</f>
        <v>1</v>
      </c>
      <c r="G97" s="388"/>
      <c r="H97" s="388"/>
      <c r="I97" s="388"/>
      <c r="K97" s="385">
        <f>SUM(K76:K96)</f>
        <v>0</v>
      </c>
      <c r="L97" s="385">
        <f>SUM(L76:L96)</f>
        <v>0</v>
      </c>
      <c r="M97" s="385">
        <f>SUM(M76:M96)</f>
        <v>0</v>
      </c>
    </row>
    <row r="98" spans="1:15" x14ac:dyDescent="0.25">
      <c r="A98" s="370" t="s">
        <v>59</v>
      </c>
      <c r="B98" s="370" t="s">
        <v>61</v>
      </c>
      <c r="C98" s="371" t="s">
        <v>60</v>
      </c>
      <c r="D98" s="390" t="s">
        <v>121</v>
      </c>
      <c r="E98" s="390" t="s">
        <v>123</v>
      </c>
      <c r="F98" s="390" t="s">
        <v>122</v>
      </c>
      <c r="H98" s="373">
        <v>0.02</v>
      </c>
      <c r="I98" s="373">
        <v>0.02</v>
      </c>
    </row>
    <row r="99" spans="1:15" x14ac:dyDescent="0.25">
      <c r="A99" s="387" t="s">
        <v>241</v>
      </c>
      <c r="B99" s="376"/>
      <c r="C99" s="387"/>
      <c r="D99" s="377"/>
      <c r="E99" s="377"/>
      <c r="F99" s="377"/>
      <c r="J99" s="378">
        <f>+MAX(E101:E118)</f>
        <v>0.16499999999999981</v>
      </c>
    </row>
    <row r="100" spans="1:15" x14ac:dyDescent="0.25">
      <c r="A100" s="370" t="s">
        <v>62</v>
      </c>
      <c r="B100" s="389" t="s">
        <v>242</v>
      </c>
      <c r="C100" s="371"/>
      <c r="D100" s="377"/>
      <c r="E100" s="377"/>
      <c r="F100" s="377"/>
    </row>
    <row r="101" spans="1:15" x14ac:dyDescent="0.25">
      <c r="A101" s="370" t="s">
        <v>243</v>
      </c>
      <c r="B101" s="389" t="s">
        <v>244</v>
      </c>
      <c r="C101" s="371" t="s">
        <v>215</v>
      </c>
      <c r="D101" s="377">
        <f>+ROUND((E101*(1-$H$2)),4)</f>
        <v>0.1411</v>
      </c>
      <c r="E101" s="377">
        <v>0.14399999999999999</v>
      </c>
      <c r="F101" s="377">
        <f>+ROUND((E101*(1+$I$2)),4)</f>
        <v>0.1469</v>
      </c>
      <c r="J101" s="378"/>
      <c r="K101" s="381">
        <f>+ROUNDDOWN(+'L6 CANT CLEON ASTU'!$G$18*'% admitidos'!D101,0)</f>
        <v>0</v>
      </c>
      <c r="L101" s="381">
        <f>+ROUND(+'L6 CANT CLEON ASTU'!$G$18*'% admitidos'!E101,0)</f>
        <v>0</v>
      </c>
      <c r="M101" s="381">
        <f>+ROUNDUP(+'L6 CANT CLEON ASTU'!$G$18*'% admitidos'!F101,0)</f>
        <v>0</v>
      </c>
      <c r="O101" s="382">
        <f t="shared" ref="O101" si="25">+M101-K101</f>
        <v>0</v>
      </c>
    </row>
    <row r="102" spans="1:15" x14ac:dyDescent="0.25">
      <c r="A102" s="370" t="s">
        <v>245</v>
      </c>
      <c r="B102" s="389" t="s">
        <v>246</v>
      </c>
      <c r="C102" s="371" t="s">
        <v>215</v>
      </c>
      <c r="D102" s="377">
        <f t="shared" ref="D102:D117" si="26">+ROUND((E102*(1-$H$2)),4)</f>
        <v>0.1343</v>
      </c>
      <c r="E102" s="377">
        <v>0.13700000000000001</v>
      </c>
      <c r="F102" s="377">
        <f t="shared" ref="F102:F117" si="27">+ROUND((E102*(1+$I$2)),4)</f>
        <v>0.13969999999999999</v>
      </c>
      <c r="K102" s="381">
        <f>+ROUNDDOWN(+'L6 CANT CLEON ASTU'!$G$18*'% admitidos'!D102,0)</f>
        <v>0</v>
      </c>
      <c r="L102" s="381">
        <f>+ROUND(+'L6 CANT CLEON ASTU'!$G$18*'% admitidos'!E102,0)</f>
        <v>0</v>
      </c>
      <c r="M102" s="381">
        <f>+ROUNDUP(+'L6 CANT CLEON ASTU'!$G$18*'% admitidos'!F102,0)</f>
        <v>0</v>
      </c>
      <c r="O102" s="382">
        <f t="shared" ref="O102:O104" si="28">+M102-K102</f>
        <v>0</v>
      </c>
    </row>
    <row r="103" spans="1:15" x14ac:dyDescent="0.25">
      <c r="A103" s="370" t="s">
        <v>247</v>
      </c>
      <c r="B103" s="389" t="s">
        <v>248</v>
      </c>
      <c r="C103" s="371" t="s">
        <v>84</v>
      </c>
      <c r="D103" s="377">
        <f t="shared" si="26"/>
        <v>3.1399999999999997E-2</v>
      </c>
      <c r="E103" s="377">
        <v>3.2000000000000001E-2</v>
      </c>
      <c r="F103" s="377">
        <f t="shared" si="27"/>
        <v>3.2599999999999997E-2</v>
      </c>
      <c r="K103" s="381">
        <f>+ROUNDDOWN(+'L6 CANT CLEON ASTU'!$G$18*'% admitidos'!D103,0)</f>
        <v>0</v>
      </c>
      <c r="L103" s="381">
        <f>+ROUND(+'L6 CANT CLEON ASTU'!$G$18*'% admitidos'!E103,0)</f>
        <v>0</v>
      </c>
      <c r="M103" s="381">
        <f>+ROUNDUP(+'L6 CANT CLEON ASTU'!$G$18*'% admitidos'!F103,0)</f>
        <v>0</v>
      </c>
      <c r="O103" s="382">
        <f t="shared" si="28"/>
        <v>0</v>
      </c>
    </row>
    <row r="104" spans="1:15" x14ac:dyDescent="0.25">
      <c r="A104" s="370" t="s">
        <v>249</v>
      </c>
      <c r="B104" s="389" t="s">
        <v>250</v>
      </c>
      <c r="C104" s="371" t="s">
        <v>84</v>
      </c>
      <c r="D104" s="377">
        <f t="shared" si="26"/>
        <v>2.06E-2</v>
      </c>
      <c r="E104" s="377">
        <v>2.1000000000000001E-2</v>
      </c>
      <c r="F104" s="377">
        <f t="shared" si="27"/>
        <v>2.1399999999999999E-2</v>
      </c>
      <c r="K104" s="381">
        <f>+ROUNDDOWN(+'L6 CANT CLEON ASTU'!$G$18*'% admitidos'!D104,0)</f>
        <v>0</v>
      </c>
      <c r="L104" s="381">
        <f>+ROUND(+'L6 CANT CLEON ASTU'!$G$18*'% admitidos'!E104,0)</f>
        <v>0</v>
      </c>
      <c r="M104" s="381">
        <f>+ROUNDUP(+'L6 CANT CLEON ASTU'!$G$18*'% admitidos'!F104,0)</f>
        <v>0</v>
      </c>
      <c r="O104" s="382">
        <f t="shared" si="28"/>
        <v>0</v>
      </c>
    </row>
    <row r="105" spans="1:15" x14ac:dyDescent="0.25">
      <c r="A105" s="370" t="s">
        <v>62</v>
      </c>
      <c r="B105" s="389" t="s">
        <v>251</v>
      </c>
      <c r="C105" s="371"/>
      <c r="D105" s="377"/>
      <c r="E105" s="377"/>
      <c r="F105" s="377"/>
    </row>
    <row r="106" spans="1:15" x14ac:dyDescent="0.25">
      <c r="A106" s="370" t="s">
        <v>252</v>
      </c>
      <c r="B106" s="389" t="s">
        <v>253</v>
      </c>
      <c r="C106" s="371" t="s">
        <v>215</v>
      </c>
      <c r="D106" s="377">
        <f t="shared" si="26"/>
        <v>9.0200000000000002E-2</v>
      </c>
      <c r="E106" s="377">
        <v>9.1999999999999998E-2</v>
      </c>
      <c r="F106" s="377">
        <f t="shared" si="27"/>
        <v>9.3799999999999994E-2</v>
      </c>
      <c r="K106" s="381">
        <f>+ROUNDDOWN(+'L6 CANT CLEON ASTU'!$G$18*'% admitidos'!D106,0)</f>
        <v>0</v>
      </c>
      <c r="L106" s="381">
        <f>+ROUND(+'L6 CANT CLEON ASTU'!$G$18*'% admitidos'!E106,0)</f>
        <v>0</v>
      </c>
      <c r="M106" s="381">
        <f>+ROUNDUP(+'L6 CANT CLEON ASTU'!$G$18*'% admitidos'!F106,0)</f>
        <v>0</v>
      </c>
      <c r="O106" s="382">
        <f t="shared" ref="O106:O115" si="29">+M106-K106</f>
        <v>0</v>
      </c>
    </row>
    <row r="107" spans="1:15" x14ac:dyDescent="0.25">
      <c r="A107" s="370" t="s">
        <v>254</v>
      </c>
      <c r="B107" s="389" t="s">
        <v>255</v>
      </c>
      <c r="C107" s="371" t="s">
        <v>215</v>
      </c>
      <c r="D107" s="377">
        <f t="shared" si="26"/>
        <v>0.1176</v>
      </c>
      <c r="E107" s="377">
        <v>0.12</v>
      </c>
      <c r="F107" s="377">
        <f t="shared" si="27"/>
        <v>0.12239999999999999</v>
      </c>
      <c r="K107" s="381">
        <f>+ROUNDDOWN(+'L6 CANT CLEON ASTU'!$G$18*'% admitidos'!D107,0)</f>
        <v>0</v>
      </c>
      <c r="L107" s="381">
        <f>+ROUND(+'L6 CANT CLEON ASTU'!$G$18*'% admitidos'!E107,0)</f>
        <v>0</v>
      </c>
      <c r="M107" s="381">
        <f>+ROUNDUP(+'L6 CANT CLEON ASTU'!$G$18*'% admitidos'!F107,0)</f>
        <v>0</v>
      </c>
      <c r="O107" s="382">
        <f t="shared" si="29"/>
        <v>0</v>
      </c>
    </row>
    <row r="108" spans="1:15" x14ac:dyDescent="0.25">
      <c r="A108" s="370" t="s">
        <v>256</v>
      </c>
      <c r="B108" s="389" t="s">
        <v>257</v>
      </c>
      <c r="C108" s="371" t="s">
        <v>84</v>
      </c>
      <c r="D108" s="377">
        <f t="shared" si="26"/>
        <v>2.06E-2</v>
      </c>
      <c r="E108" s="377">
        <v>2.1000000000000001E-2</v>
      </c>
      <c r="F108" s="377">
        <f t="shared" si="27"/>
        <v>2.1399999999999999E-2</v>
      </c>
      <c r="K108" s="381">
        <f>+ROUNDDOWN(+'L6 CANT CLEON ASTU'!$G$18*'% admitidos'!D108,0)</f>
        <v>0</v>
      </c>
      <c r="L108" s="381">
        <f>+ROUND(+'L6 CANT CLEON ASTU'!$G$18*'% admitidos'!E108,0)</f>
        <v>0</v>
      </c>
      <c r="M108" s="381">
        <f>+ROUNDUP(+'L6 CANT CLEON ASTU'!$G$18*'% admitidos'!F108,0)</f>
        <v>0</v>
      </c>
      <c r="O108" s="382">
        <f t="shared" si="29"/>
        <v>0</v>
      </c>
    </row>
    <row r="109" spans="1:15" x14ac:dyDescent="0.25">
      <c r="A109" s="370" t="s">
        <v>258</v>
      </c>
      <c r="B109" s="389" t="s">
        <v>259</v>
      </c>
      <c r="C109" s="371" t="s">
        <v>84</v>
      </c>
      <c r="D109" s="377">
        <f t="shared" si="26"/>
        <v>2.06E-2</v>
      </c>
      <c r="E109" s="377">
        <v>2.1000000000000001E-2</v>
      </c>
      <c r="F109" s="377">
        <f t="shared" si="27"/>
        <v>2.1399999999999999E-2</v>
      </c>
      <c r="K109" s="381">
        <f>+ROUNDDOWN(+'L6 CANT CLEON ASTU'!$G$18*'% admitidos'!D109,0)</f>
        <v>0</v>
      </c>
      <c r="L109" s="381">
        <f>+ROUND(+'L6 CANT CLEON ASTU'!$G$18*'% admitidos'!E109,0)</f>
        <v>0</v>
      </c>
      <c r="M109" s="381">
        <f>+ROUNDUP(+'L6 CANT CLEON ASTU'!$G$18*'% admitidos'!F109,0)</f>
        <v>0</v>
      </c>
      <c r="O109" s="382">
        <f t="shared" si="29"/>
        <v>0</v>
      </c>
    </row>
    <row r="110" spans="1:15" x14ac:dyDescent="0.25">
      <c r="A110" s="370" t="s">
        <v>260</v>
      </c>
      <c r="B110" s="389" t="s">
        <v>261</v>
      </c>
      <c r="C110" s="371" t="s">
        <v>84</v>
      </c>
      <c r="D110" s="377">
        <f t="shared" si="26"/>
        <v>2.7400000000000001E-2</v>
      </c>
      <c r="E110" s="377">
        <v>2.8000000000000001E-2</v>
      </c>
      <c r="F110" s="377">
        <f t="shared" si="27"/>
        <v>2.86E-2</v>
      </c>
      <c r="K110" s="381">
        <f>+ROUNDDOWN(+'L6 CANT CLEON ASTU'!$G$18*'% admitidos'!D110,0)</f>
        <v>0</v>
      </c>
      <c r="L110" s="381">
        <f>+ROUND(+'L6 CANT CLEON ASTU'!$G$18*'% admitidos'!E110,0)</f>
        <v>0</v>
      </c>
      <c r="M110" s="381">
        <f>+ROUNDUP(+'L6 CANT CLEON ASTU'!$G$18*'% admitidos'!F110,0)</f>
        <v>0</v>
      </c>
      <c r="O110" s="382">
        <f t="shared" si="29"/>
        <v>0</v>
      </c>
    </row>
    <row r="111" spans="1:15" x14ac:dyDescent="0.25">
      <c r="A111" s="370" t="s">
        <v>262</v>
      </c>
      <c r="B111" s="389" t="s">
        <v>263</v>
      </c>
      <c r="C111" s="371" t="s">
        <v>84</v>
      </c>
      <c r="D111" s="377">
        <f t="shared" si="26"/>
        <v>3.4299999999999997E-2</v>
      </c>
      <c r="E111" s="377">
        <v>3.5000000000000003E-2</v>
      </c>
      <c r="F111" s="377">
        <f t="shared" si="27"/>
        <v>3.5700000000000003E-2</v>
      </c>
      <c r="K111" s="381">
        <f>+ROUNDDOWN(+'L6 CANT CLEON ASTU'!$G$18*'% admitidos'!D111,0)</f>
        <v>0</v>
      </c>
      <c r="L111" s="381">
        <f>+ROUND(+'L6 CANT CLEON ASTU'!$G$18*'% admitidos'!E111,0)</f>
        <v>0</v>
      </c>
      <c r="M111" s="381">
        <f>+ROUNDUP(+'L6 CANT CLEON ASTU'!$G$18*'% admitidos'!F111,0)</f>
        <v>0</v>
      </c>
      <c r="O111" s="382">
        <f t="shared" si="29"/>
        <v>0</v>
      </c>
    </row>
    <row r="112" spans="1:15" x14ac:dyDescent="0.25">
      <c r="A112" s="370" t="s">
        <v>264</v>
      </c>
      <c r="B112" s="389" t="s">
        <v>265</v>
      </c>
      <c r="C112" s="371" t="s">
        <v>84</v>
      </c>
      <c r="D112" s="377">
        <f t="shared" si="26"/>
        <v>2.4500000000000001E-2</v>
      </c>
      <c r="E112" s="377">
        <v>2.5000000000000001E-2</v>
      </c>
      <c r="F112" s="377">
        <f t="shared" si="27"/>
        <v>2.5499999999999998E-2</v>
      </c>
      <c r="K112" s="381">
        <f>+ROUNDDOWN(+'L6 CANT CLEON ASTU'!$G$18*'% admitidos'!D112,0)</f>
        <v>0</v>
      </c>
      <c r="L112" s="381">
        <f>+ROUND(+'L6 CANT CLEON ASTU'!$G$18*'% admitidos'!E112,0)</f>
        <v>0</v>
      </c>
      <c r="M112" s="381">
        <f>+ROUNDUP(+'L6 CANT CLEON ASTU'!$G$18*'% admitidos'!F112,0)</f>
        <v>0</v>
      </c>
      <c r="O112" s="382">
        <f t="shared" si="29"/>
        <v>0</v>
      </c>
    </row>
    <row r="113" spans="1:15" x14ac:dyDescent="0.25">
      <c r="A113" s="370" t="s">
        <v>266</v>
      </c>
      <c r="B113" s="389" t="s">
        <v>267</v>
      </c>
      <c r="C113" s="371" t="s">
        <v>84</v>
      </c>
      <c r="D113" s="377">
        <f t="shared" si="26"/>
        <v>2.06E-2</v>
      </c>
      <c r="E113" s="377">
        <v>2.1000000000000001E-2</v>
      </c>
      <c r="F113" s="377">
        <f t="shared" si="27"/>
        <v>2.1399999999999999E-2</v>
      </c>
      <c r="K113" s="381">
        <f>+ROUNDDOWN(+'L6 CANT CLEON ASTU'!$G$18*'% admitidos'!D113,0)</f>
        <v>0</v>
      </c>
      <c r="L113" s="381">
        <f>+ROUND(+'L6 CANT CLEON ASTU'!$G$18*'% admitidos'!E113,0)</f>
        <v>0</v>
      </c>
      <c r="M113" s="381">
        <f>+ROUNDUP(+'L6 CANT CLEON ASTU'!$G$18*'% admitidos'!F113,0)</f>
        <v>0</v>
      </c>
      <c r="O113" s="382">
        <f t="shared" si="29"/>
        <v>0</v>
      </c>
    </row>
    <row r="114" spans="1:15" x14ac:dyDescent="0.25">
      <c r="A114" s="370" t="s">
        <v>268</v>
      </c>
      <c r="B114" s="389" t="s">
        <v>269</v>
      </c>
      <c r="C114" s="371" t="s">
        <v>84</v>
      </c>
      <c r="D114" s="377">
        <f t="shared" si="26"/>
        <v>2.4500000000000001E-2</v>
      </c>
      <c r="E114" s="377">
        <v>2.5000000000000001E-2</v>
      </c>
      <c r="F114" s="377">
        <f t="shared" si="27"/>
        <v>2.5499999999999998E-2</v>
      </c>
      <c r="K114" s="381">
        <f>+ROUNDDOWN(+'L6 CANT CLEON ASTU'!$G$18*'% admitidos'!D114,0)</f>
        <v>0</v>
      </c>
      <c r="L114" s="381">
        <f>+ROUND(+'L6 CANT CLEON ASTU'!$G$18*'% admitidos'!E114,0)</f>
        <v>0</v>
      </c>
      <c r="M114" s="381">
        <f>+ROUNDUP(+'L6 CANT CLEON ASTU'!$G$18*'% admitidos'!F114,0)</f>
        <v>0</v>
      </c>
      <c r="O114" s="382">
        <f t="shared" si="29"/>
        <v>0</v>
      </c>
    </row>
    <row r="115" spans="1:15" x14ac:dyDescent="0.25">
      <c r="A115" s="370" t="s">
        <v>270</v>
      </c>
      <c r="B115" s="389" t="s">
        <v>271</v>
      </c>
      <c r="C115" s="371" t="s">
        <v>84</v>
      </c>
      <c r="D115" s="377">
        <f t="shared" si="26"/>
        <v>1.7600000000000001E-2</v>
      </c>
      <c r="E115" s="377">
        <v>1.7999999999999999E-2</v>
      </c>
      <c r="F115" s="377">
        <f t="shared" si="27"/>
        <v>1.84E-2</v>
      </c>
      <c r="K115" s="381">
        <f>+ROUNDDOWN(+'L6 CANT CLEON ASTU'!$G$18*'% admitidos'!D115,0)</f>
        <v>0</v>
      </c>
      <c r="L115" s="381">
        <f>+ROUND(+'L6 CANT CLEON ASTU'!$G$18*'% admitidos'!E115,0)</f>
        <v>0</v>
      </c>
      <c r="M115" s="381">
        <f>+ROUNDUP(+'L6 CANT CLEON ASTU'!$G$18*'% admitidos'!F115,0)</f>
        <v>0</v>
      </c>
      <c r="O115" s="382">
        <f t="shared" si="29"/>
        <v>0</v>
      </c>
    </row>
    <row r="116" spans="1:15" x14ac:dyDescent="0.25">
      <c r="A116" s="370" t="s">
        <v>62</v>
      </c>
      <c r="B116" s="389" t="s">
        <v>272</v>
      </c>
      <c r="C116" s="371"/>
      <c r="D116" s="377"/>
      <c r="E116" s="377"/>
      <c r="F116" s="377"/>
    </row>
    <row r="117" spans="1:15" x14ac:dyDescent="0.25">
      <c r="A117" s="370" t="s">
        <v>273</v>
      </c>
      <c r="B117" s="389" t="s">
        <v>274</v>
      </c>
      <c r="C117" s="371" t="s">
        <v>215</v>
      </c>
      <c r="D117" s="377">
        <f t="shared" si="26"/>
        <v>9.3100000000000002E-2</v>
      </c>
      <c r="E117" s="377">
        <v>9.5000000000000001E-2</v>
      </c>
      <c r="F117" s="377">
        <f t="shared" si="27"/>
        <v>9.69E-2</v>
      </c>
      <c r="K117" s="381">
        <f>+ROUNDDOWN(+'L6 CANT CLEON ASTU'!$G$18*'% admitidos'!D117,0)</f>
        <v>0</v>
      </c>
      <c r="L117" s="381">
        <f>+ROUND(+'L6 CANT CLEON ASTU'!$G$18*'% admitidos'!E117,0)</f>
        <v>0</v>
      </c>
      <c r="M117" s="381">
        <f>+ROUNDUP(+'L6 CANT CLEON ASTU'!$G$18*'% admitidos'!F117,0)</f>
        <v>0</v>
      </c>
      <c r="O117" s="382">
        <f t="shared" ref="O117" si="30">+M117-K117</f>
        <v>0</v>
      </c>
    </row>
    <row r="118" spans="1:15" x14ac:dyDescent="0.25">
      <c r="A118" s="370" t="s">
        <v>275</v>
      </c>
      <c r="B118" s="389" t="s">
        <v>276</v>
      </c>
      <c r="C118" s="371" t="s">
        <v>215</v>
      </c>
      <c r="D118" s="377">
        <f>1-SUM(D101:D117)</f>
        <v>0.18160000000000032</v>
      </c>
      <c r="E118" s="377">
        <f>1-SUM(E101:E117)</f>
        <v>0.16499999999999981</v>
      </c>
      <c r="F118" s="377">
        <f>1-SUM(F101:F117)</f>
        <v>0.14840000000000031</v>
      </c>
      <c r="K118" s="385">
        <f>+'L6 CANT CLEON ASTU'!$G$18-SUM(K101:K117)</f>
        <v>0</v>
      </c>
      <c r="L118" s="385">
        <f>+'L6 CANT CLEON ASTU'!$G$18-SUM(L101:L117)</f>
        <v>0</v>
      </c>
      <c r="M118" s="385">
        <f>+'L6 CANT CLEON ASTU'!$G$18-SUM(M101:M117)</f>
        <v>0</v>
      </c>
      <c r="O118" s="386">
        <f>-(+M118-K118)</f>
        <v>0</v>
      </c>
    </row>
    <row r="119" spans="1:15" x14ac:dyDescent="0.25">
      <c r="A119" s="387" t="s">
        <v>355</v>
      </c>
      <c r="B119" s="388"/>
      <c r="C119" s="388"/>
      <c r="D119" s="383">
        <f>SUM(D101:D118)</f>
        <v>1</v>
      </c>
      <c r="E119" s="383">
        <f>+SUM(E101:E118)</f>
        <v>1</v>
      </c>
      <c r="F119" s="383">
        <f>SUM(F101:F118)</f>
        <v>1</v>
      </c>
      <c r="G119" s="388"/>
      <c r="H119" s="388"/>
      <c r="I119" s="388"/>
      <c r="K119" s="385">
        <f>SUM(K101:K118)</f>
        <v>0</v>
      </c>
      <c r="L119" s="385">
        <f>SUM(L101:L118)</f>
        <v>0</v>
      </c>
      <c r="M119" s="385">
        <f>SUM(M101:M118)</f>
        <v>0</v>
      </c>
    </row>
    <row r="120" spans="1:15" ht="15.75" x14ac:dyDescent="0.25">
      <c r="A120" s="370" t="s">
        <v>59</v>
      </c>
      <c r="B120" s="370" t="s">
        <v>61</v>
      </c>
      <c r="C120" s="371" t="s">
        <v>60</v>
      </c>
      <c r="D120" s="390" t="s">
        <v>121</v>
      </c>
      <c r="E120" s="390" t="s">
        <v>123</v>
      </c>
      <c r="F120" s="390" t="s">
        <v>122</v>
      </c>
      <c r="H120" s="393">
        <v>0.02</v>
      </c>
      <c r="I120" s="393">
        <v>0.02</v>
      </c>
    </row>
    <row r="121" spans="1:15" x14ac:dyDescent="0.25">
      <c r="A121" s="387" t="s">
        <v>277</v>
      </c>
      <c r="B121" s="376"/>
      <c r="C121" s="387"/>
      <c r="D121" s="377"/>
      <c r="E121" s="377"/>
      <c r="F121" s="377"/>
      <c r="J121" s="378">
        <f>+MAX(E123:E138)</f>
        <v>0.12899999999999989</v>
      </c>
    </row>
    <row r="122" spans="1:15" x14ac:dyDescent="0.25">
      <c r="A122" s="370" t="s">
        <v>62</v>
      </c>
      <c r="B122" s="389" t="s">
        <v>278</v>
      </c>
      <c r="C122" s="371"/>
      <c r="D122" s="377"/>
      <c r="E122" s="377"/>
      <c r="F122" s="377"/>
    </row>
    <row r="123" spans="1:15" x14ac:dyDescent="0.25">
      <c r="A123" s="370" t="s">
        <v>279</v>
      </c>
      <c r="B123" s="389" t="s">
        <v>280</v>
      </c>
      <c r="C123" s="371" t="s">
        <v>215</v>
      </c>
      <c r="D123" s="377">
        <f>+ROUND((E123*(1-$H$120)),4)</f>
        <v>7.2499999999999995E-2</v>
      </c>
      <c r="E123" s="377">
        <v>7.3999999999999996E-2</v>
      </c>
      <c r="F123" s="377">
        <f>+ROUND((E123*(1+$I$120)),4)</f>
        <v>7.5499999999999998E-2</v>
      </c>
      <c r="J123" s="378"/>
      <c r="K123" s="381">
        <f>+ROUNDDOWN(+'L7 CATAL'!$G$18*'% admitidos'!D123,0)</f>
        <v>0</v>
      </c>
      <c r="L123" s="381">
        <f>+ROUND(+'L7 CATAL'!$G$18*'% admitidos'!E123,0)</f>
        <v>0</v>
      </c>
      <c r="M123" s="381">
        <f>+ROUNDUP(+'L7 CATAL'!$G$18*'% admitidos'!F123,0)</f>
        <v>0</v>
      </c>
      <c r="O123" s="382">
        <f t="shared" ref="O123" si="31">+M123-K123</f>
        <v>0</v>
      </c>
    </row>
    <row r="124" spans="1:15" x14ac:dyDescent="0.25">
      <c r="A124" s="370" t="s">
        <v>281</v>
      </c>
      <c r="B124" s="389" t="s">
        <v>282</v>
      </c>
      <c r="C124" s="371" t="s">
        <v>215</v>
      </c>
      <c r="D124" s="377">
        <f t="shared" ref="D124:D138" si="32">+ROUND((E124*(1-$H$120)),4)</f>
        <v>0.10290000000000001</v>
      </c>
      <c r="E124" s="377">
        <v>0.105</v>
      </c>
      <c r="F124" s="377">
        <f t="shared" ref="F124:F138" si="33">+ROUND((E124*(1+$I$120)),4)</f>
        <v>0.1071</v>
      </c>
      <c r="K124" s="381">
        <f>+ROUNDDOWN(+'L7 CATAL'!$G$18*'% admitidos'!D124,0)</f>
        <v>0</v>
      </c>
      <c r="L124" s="381">
        <f>+ROUND(+'L7 CATAL'!$G$18*'% admitidos'!E124,0)</f>
        <v>0</v>
      </c>
      <c r="M124" s="381">
        <f>+ROUNDUP(+'L7 CATAL'!$G$18*'% admitidos'!F124,0)</f>
        <v>0</v>
      </c>
      <c r="O124" s="382">
        <f t="shared" ref="O124:O138" si="34">+M124-K124</f>
        <v>0</v>
      </c>
    </row>
    <row r="125" spans="1:15" x14ac:dyDescent="0.25">
      <c r="A125" s="370" t="s">
        <v>283</v>
      </c>
      <c r="B125" s="389" t="s">
        <v>284</v>
      </c>
      <c r="C125" s="371" t="s">
        <v>215</v>
      </c>
      <c r="D125" s="377">
        <f t="shared" si="32"/>
        <v>8.9200000000000002E-2</v>
      </c>
      <c r="E125" s="377">
        <v>9.0999999999999998E-2</v>
      </c>
      <c r="F125" s="377">
        <f t="shared" si="33"/>
        <v>9.2799999999999994E-2</v>
      </c>
      <c r="K125" s="381">
        <f>+ROUNDDOWN(+'L7 CATAL'!$G$18*'% admitidos'!D125,0)</f>
        <v>0</v>
      </c>
      <c r="L125" s="381">
        <f>+ROUND(+'L7 CATAL'!$G$18*'% admitidos'!E125,0)</f>
        <v>0</v>
      </c>
      <c r="M125" s="381">
        <f>+ROUNDUP(+'L7 CATAL'!$G$18*'% admitidos'!F125,0)</f>
        <v>0</v>
      </c>
      <c r="O125" s="382">
        <f t="shared" si="34"/>
        <v>0</v>
      </c>
    </row>
    <row r="126" spans="1:15" x14ac:dyDescent="0.25">
      <c r="A126" s="370" t="s">
        <v>285</v>
      </c>
      <c r="B126" s="389" t="s">
        <v>286</v>
      </c>
      <c r="C126" s="371" t="s">
        <v>215</v>
      </c>
      <c r="D126" s="377">
        <f t="shared" si="32"/>
        <v>5.8799999999999998E-2</v>
      </c>
      <c r="E126" s="377">
        <v>0.06</v>
      </c>
      <c r="F126" s="377">
        <f t="shared" si="33"/>
        <v>6.1199999999999997E-2</v>
      </c>
      <c r="K126" s="381">
        <f>+ROUNDDOWN(+'L7 CATAL'!$G$18*'% admitidos'!D126,0)</f>
        <v>0</v>
      </c>
      <c r="L126" s="381">
        <f>+ROUND(+'L7 CATAL'!$G$18*'% admitidos'!E126,0)</f>
        <v>0</v>
      </c>
      <c r="M126" s="381">
        <f>+ROUNDUP(+'L7 CATAL'!$G$18*'% admitidos'!F126,0)</f>
        <v>0</v>
      </c>
      <c r="O126" s="382">
        <f t="shared" si="34"/>
        <v>0</v>
      </c>
    </row>
    <row r="127" spans="1:15" x14ac:dyDescent="0.25">
      <c r="A127" s="370" t="s">
        <v>287</v>
      </c>
      <c r="B127" s="389" t="s">
        <v>288</v>
      </c>
      <c r="C127" s="371" t="s">
        <v>215</v>
      </c>
      <c r="D127" s="377">
        <f>1-SUM(D123:D126)-SUM(D128:D138)</f>
        <v>0.14639999999999997</v>
      </c>
      <c r="E127" s="377">
        <f>1-SUM(E123:E126)-SUM(E128:E138)</f>
        <v>0.12899999999999989</v>
      </c>
      <c r="F127" s="377">
        <f>1-SUM(F123:F126)-SUM(F128:F138)</f>
        <v>0.11160000000000003</v>
      </c>
      <c r="K127" s="385">
        <f>+'L7 CATAL'!$G$18-SUM(K123:K126)-SUM(K128:K138)</f>
        <v>0</v>
      </c>
      <c r="L127" s="385">
        <f>+'L7 CATAL'!$G$18-SUM(L123:L126)-SUM(L128:L138)</f>
        <v>0</v>
      </c>
      <c r="M127" s="385">
        <f>+'L7 CATAL'!$G$18-SUM(M123:M126)-SUM(M128:M138)</f>
        <v>0</v>
      </c>
      <c r="O127" s="386">
        <f>-(+M127-K127)</f>
        <v>0</v>
      </c>
    </row>
    <row r="128" spans="1:15" x14ac:dyDescent="0.25">
      <c r="A128" s="370" t="s">
        <v>289</v>
      </c>
      <c r="B128" s="389" t="s">
        <v>290</v>
      </c>
      <c r="C128" s="371" t="s">
        <v>215</v>
      </c>
      <c r="D128" s="377">
        <f t="shared" si="32"/>
        <v>7.6399999999999996E-2</v>
      </c>
      <c r="E128" s="377">
        <v>7.8E-2</v>
      </c>
      <c r="F128" s="377">
        <f t="shared" si="33"/>
        <v>7.9600000000000004E-2</v>
      </c>
      <c r="K128" s="381">
        <f>+ROUNDDOWN(+'L7 CATAL'!$G$18*'% admitidos'!D128,0)</f>
        <v>0</v>
      </c>
      <c r="L128" s="381">
        <f>+ROUND(+'L7 CATAL'!$G$18*'% admitidos'!E128,0)</f>
        <v>0</v>
      </c>
      <c r="M128" s="381">
        <f>+ROUNDUP(+'L7 CATAL'!$G$18*'% admitidos'!F128,0)</f>
        <v>0</v>
      </c>
      <c r="O128" s="382">
        <f t="shared" si="34"/>
        <v>0</v>
      </c>
    </row>
    <row r="129" spans="1:15" x14ac:dyDescent="0.25">
      <c r="A129" s="370" t="s">
        <v>291</v>
      </c>
      <c r="B129" s="389" t="s">
        <v>292</v>
      </c>
      <c r="C129" s="371" t="s">
        <v>215</v>
      </c>
      <c r="D129" s="377">
        <f t="shared" si="32"/>
        <v>8.3299999999999999E-2</v>
      </c>
      <c r="E129" s="377">
        <v>8.5000000000000006E-2</v>
      </c>
      <c r="F129" s="377">
        <f t="shared" si="33"/>
        <v>8.6699999999999999E-2</v>
      </c>
      <c r="K129" s="381">
        <f>+ROUNDDOWN(+'L7 CATAL'!$G$18*'% admitidos'!D129,0)</f>
        <v>0</v>
      </c>
      <c r="L129" s="381">
        <f>+ROUND(+'L7 CATAL'!$G$18*'% admitidos'!E129,0)</f>
        <v>0</v>
      </c>
      <c r="M129" s="381">
        <f>+ROUNDUP(+'L7 CATAL'!$G$18*'% admitidos'!F129,0)</f>
        <v>0</v>
      </c>
      <c r="O129" s="382">
        <f t="shared" si="34"/>
        <v>0</v>
      </c>
    </row>
    <row r="130" spans="1:15" x14ac:dyDescent="0.25">
      <c r="A130" s="370" t="s">
        <v>293</v>
      </c>
      <c r="B130" s="389" t="s">
        <v>294</v>
      </c>
      <c r="C130" s="371" t="s">
        <v>215</v>
      </c>
      <c r="D130" s="377">
        <f t="shared" si="32"/>
        <v>9.11E-2</v>
      </c>
      <c r="E130" s="377">
        <v>9.2999999999999999E-2</v>
      </c>
      <c r="F130" s="377">
        <f t="shared" si="33"/>
        <v>9.4899999999999998E-2</v>
      </c>
      <c r="K130" s="381">
        <f>+ROUNDDOWN(+'L7 CATAL'!$G$18*'% admitidos'!D130,0)</f>
        <v>0</v>
      </c>
      <c r="L130" s="381">
        <f>+ROUND(+'L7 CATAL'!$G$18*'% admitidos'!E130,0)</f>
        <v>0</v>
      </c>
      <c r="M130" s="381">
        <f>+ROUNDUP(+'L7 CATAL'!$G$18*'% admitidos'!F130,0)</f>
        <v>0</v>
      </c>
      <c r="O130" s="382">
        <f t="shared" si="34"/>
        <v>0</v>
      </c>
    </row>
    <row r="131" spans="1:15" x14ac:dyDescent="0.25">
      <c r="A131" s="370" t="s">
        <v>295</v>
      </c>
      <c r="B131" s="389" t="s">
        <v>296</v>
      </c>
      <c r="C131" s="371" t="s">
        <v>215</v>
      </c>
      <c r="D131" s="377">
        <f t="shared" si="32"/>
        <v>0.10489999999999999</v>
      </c>
      <c r="E131" s="377">
        <v>0.107</v>
      </c>
      <c r="F131" s="377">
        <f t="shared" si="33"/>
        <v>0.1091</v>
      </c>
      <c r="K131" s="381">
        <f>+ROUNDDOWN(+'L7 CATAL'!$G$18*'% admitidos'!D131,0)</f>
        <v>0</v>
      </c>
      <c r="L131" s="381">
        <f>+ROUND(+'L7 CATAL'!$G$18*'% admitidos'!E131,0)</f>
        <v>0</v>
      </c>
      <c r="M131" s="381">
        <f>+ROUNDUP(+'L7 CATAL'!$G$18*'% admitidos'!F131,0)</f>
        <v>0</v>
      </c>
      <c r="O131" s="382">
        <f t="shared" si="34"/>
        <v>0</v>
      </c>
    </row>
    <row r="132" spans="1:15" x14ac:dyDescent="0.25">
      <c r="A132" s="370" t="s">
        <v>297</v>
      </c>
      <c r="B132" s="389" t="s">
        <v>298</v>
      </c>
      <c r="C132" s="371" t="s">
        <v>215</v>
      </c>
      <c r="D132" s="377">
        <f t="shared" si="32"/>
        <v>7.4499999999999997E-2</v>
      </c>
      <c r="E132" s="377">
        <v>7.5999999999999998E-2</v>
      </c>
      <c r="F132" s="377">
        <f t="shared" si="33"/>
        <v>7.7499999999999999E-2</v>
      </c>
      <c r="K132" s="381">
        <f>+ROUNDDOWN(+'L7 CATAL'!$G$18*'% admitidos'!D132,0)</f>
        <v>0</v>
      </c>
      <c r="L132" s="381">
        <f>+ROUND(+'L7 CATAL'!$G$18*'% admitidos'!E132,0)</f>
        <v>0</v>
      </c>
      <c r="M132" s="381">
        <f>+ROUNDUP(+'L7 CATAL'!$G$18*'% admitidos'!F132,0)</f>
        <v>0</v>
      </c>
      <c r="O132" s="382">
        <f t="shared" si="34"/>
        <v>0</v>
      </c>
    </row>
    <row r="133" spans="1:15" x14ac:dyDescent="0.25">
      <c r="A133" s="370" t="s">
        <v>299</v>
      </c>
      <c r="B133" s="389" t="s">
        <v>300</v>
      </c>
      <c r="C133" s="371" t="s">
        <v>215</v>
      </c>
      <c r="D133" s="377">
        <f t="shared" si="32"/>
        <v>4.1200000000000001E-2</v>
      </c>
      <c r="E133" s="377">
        <v>4.2000000000000003E-2</v>
      </c>
      <c r="F133" s="377">
        <f t="shared" si="33"/>
        <v>4.2799999999999998E-2</v>
      </c>
      <c r="K133" s="381">
        <f>+ROUNDDOWN(+'L7 CATAL'!$G$18*'% admitidos'!D133,0)</f>
        <v>0</v>
      </c>
      <c r="L133" s="381">
        <f>+ROUND(+'L7 CATAL'!$G$18*'% admitidos'!E133,0)</f>
        <v>0</v>
      </c>
      <c r="M133" s="381">
        <f>+ROUNDUP(+'L7 CATAL'!$G$18*'% admitidos'!F133,0)</f>
        <v>0</v>
      </c>
      <c r="O133" s="382">
        <f t="shared" si="34"/>
        <v>0</v>
      </c>
    </row>
    <row r="134" spans="1:15" ht="15.75" x14ac:dyDescent="0.25">
      <c r="A134" s="370" t="s">
        <v>301</v>
      </c>
      <c r="B134" s="389" t="s">
        <v>302</v>
      </c>
      <c r="C134" s="371" t="s">
        <v>84</v>
      </c>
      <c r="D134" s="377">
        <f t="shared" si="32"/>
        <v>9.7999999999999997E-3</v>
      </c>
      <c r="E134" s="377">
        <v>0.01</v>
      </c>
      <c r="F134" s="377">
        <f t="shared" si="33"/>
        <v>1.0200000000000001E-2</v>
      </c>
      <c r="K134" s="394">
        <f>+ROUNDDOWN(+'L7 CATAL'!$G$18*'% admitidos'!D134,0)</f>
        <v>0</v>
      </c>
      <c r="L134" s="381">
        <f>+ROUND(+'L7 CATAL'!$G$18*'% admitidos'!E134,0)</f>
        <v>0</v>
      </c>
      <c r="M134" s="381">
        <f>+ROUNDUP(+'L7 CATAL'!$G$18*'% admitidos'!F134,0)</f>
        <v>0</v>
      </c>
      <c r="O134" s="382">
        <f t="shared" si="34"/>
        <v>0</v>
      </c>
    </row>
    <row r="135" spans="1:15" ht="15.75" x14ac:dyDescent="0.25">
      <c r="A135" s="370" t="s">
        <v>303</v>
      </c>
      <c r="B135" s="389" t="s">
        <v>304</v>
      </c>
      <c r="C135" s="371" t="s">
        <v>84</v>
      </c>
      <c r="D135" s="377">
        <f t="shared" si="32"/>
        <v>1.18E-2</v>
      </c>
      <c r="E135" s="377">
        <v>1.2E-2</v>
      </c>
      <c r="F135" s="377">
        <f t="shared" si="33"/>
        <v>1.2200000000000001E-2</v>
      </c>
      <c r="K135" s="394">
        <f>+ROUNDDOWN(+'L7 CATAL'!$G$18*'% admitidos'!D135,0)</f>
        <v>0</v>
      </c>
      <c r="L135" s="381">
        <f>+ROUND(+'L7 CATAL'!$G$18*'% admitidos'!E135,0)</f>
        <v>0</v>
      </c>
      <c r="M135" s="381">
        <f>+ROUNDUP(+'L7 CATAL'!$G$18*'% admitidos'!F135,0)</f>
        <v>0</v>
      </c>
      <c r="O135" s="382">
        <f t="shared" si="34"/>
        <v>0</v>
      </c>
    </row>
    <row r="136" spans="1:15" ht="15.75" x14ac:dyDescent="0.25">
      <c r="A136" s="370" t="s">
        <v>305</v>
      </c>
      <c r="B136" s="389" t="s">
        <v>306</v>
      </c>
      <c r="C136" s="371" t="s">
        <v>84</v>
      </c>
      <c r="D136" s="377">
        <f t="shared" si="32"/>
        <v>9.7999999999999997E-3</v>
      </c>
      <c r="E136" s="377">
        <v>0.01</v>
      </c>
      <c r="F136" s="377">
        <f t="shared" si="33"/>
        <v>1.0200000000000001E-2</v>
      </c>
      <c r="K136" s="394">
        <f>+ROUNDDOWN(+'L7 CATAL'!$G$18*'% admitidos'!D136,0)</f>
        <v>0</v>
      </c>
      <c r="L136" s="381">
        <f>+ROUND(+'L7 CATAL'!$G$18*'% admitidos'!E136,0)</f>
        <v>0</v>
      </c>
      <c r="M136" s="381">
        <f>+ROUNDUP(+'L7 CATAL'!$G$18*'% admitidos'!F136,0)</f>
        <v>0</v>
      </c>
      <c r="O136" s="382">
        <f t="shared" si="34"/>
        <v>0</v>
      </c>
    </row>
    <row r="137" spans="1:15" ht="15.75" x14ac:dyDescent="0.25">
      <c r="A137" s="370" t="s">
        <v>307</v>
      </c>
      <c r="B137" s="389" t="s">
        <v>308</v>
      </c>
      <c r="C137" s="371" t="s">
        <v>84</v>
      </c>
      <c r="D137" s="377">
        <f t="shared" si="32"/>
        <v>1.7600000000000001E-2</v>
      </c>
      <c r="E137" s="377">
        <v>1.7999999999999999E-2</v>
      </c>
      <c r="F137" s="377">
        <f t="shared" si="33"/>
        <v>1.84E-2</v>
      </c>
      <c r="K137" s="394">
        <f>+ROUNDDOWN(+'L7 CATAL'!$G$18*'% admitidos'!D137,0)</f>
        <v>0</v>
      </c>
      <c r="L137" s="381">
        <f>+ROUND(+'L7 CATAL'!$G$18*'% admitidos'!E137,0)</f>
        <v>0</v>
      </c>
      <c r="M137" s="381">
        <f>+ROUNDUP(+'L7 CATAL'!$G$18*'% admitidos'!F137,0)</f>
        <v>0</v>
      </c>
      <c r="O137" s="382">
        <f t="shared" si="34"/>
        <v>0</v>
      </c>
    </row>
    <row r="138" spans="1:15" ht="15.75" x14ac:dyDescent="0.25">
      <c r="A138" s="370" t="s">
        <v>309</v>
      </c>
      <c r="B138" s="389" t="s">
        <v>310</v>
      </c>
      <c r="C138" s="371" t="s">
        <v>84</v>
      </c>
      <c r="D138" s="377">
        <f t="shared" si="32"/>
        <v>9.7999999999999997E-3</v>
      </c>
      <c r="E138" s="377">
        <v>0.01</v>
      </c>
      <c r="F138" s="377">
        <f t="shared" si="33"/>
        <v>1.0200000000000001E-2</v>
      </c>
      <c r="K138" s="394">
        <f>+ROUNDDOWN(+'L7 CATAL'!$G$18*'% admitidos'!D138,0)</f>
        <v>0</v>
      </c>
      <c r="L138" s="381">
        <f>+ROUND(+'L7 CATAL'!$G$18*'% admitidos'!E138,0)</f>
        <v>0</v>
      </c>
      <c r="M138" s="381">
        <f>+ROUNDUP(+'L7 CATAL'!$G$18*'% admitidos'!F138,0)</f>
        <v>0</v>
      </c>
      <c r="O138" s="382">
        <f t="shared" si="34"/>
        <v>0</v>
      </c>
    </row>
    <row r="139" spans="1:15" x14ac:dyDescent="0.25">
      <c r="A139" s="387" t="s">
        <v>356</v>
      </c>
      <c r="B139" s="388"/>
      <c r="C139" s="388"/>
      <c r="D139" s="383">
        <f>SUM(D123:D138)</f>
        <v>1</v>
      </c>
      <c r="E139" s="383">
        <f>+SUM(E123:E138)</f>
        <v>0.99999999999999989</v>
      </c>
      <c r="F139" s="383">
        <f>SUM(F123:F138)</f>
        <v>0.99999999999999989</v>
      </c>
      <c r="G139" s="388"/>
      <c r="H139" s="388"/>
      <c r="I139" s="388"/>
      <c r="K139" s="385">
        <f>SUM(K123:K138)</f>
        <v>0</v>
      </c>
      <c r="L139" s="385">
        <f>SUM(L123:L138)</f>
        <v>0</v>
      </c>
      <c r="M139" s="385">
        <f>SUM(M123:M138)</f>
        <v>0</v>
      </c>
    </row>
    <row r="140" spans="1:15" x14ac:dyDescent="0.25">
      <c r="A140" s="370" t="s">
        <v>59</v>
      </c>
      <c r="B140" s="370" t="s">
        <v>61</v>
      </c>
      <c r="C140" s="371" t="s">
        <v>60</v>
      </c>
      <c r="D140" s="390" t="s">
        <v>121</v>
      </c>
      <c r="E140" s="390" t="s">
        <v>123</v>
      </c>
      <c r="F140" s="390" t="s">
        <v>122</v>
      </c>
      <c r="H140" s="373">
        <v>0.02</v>
      </c>
      <c r="I140" s="373">
        <v>0.02</v>
      </c>
    </row>
    <row r="141" spans="1:15" x14ac:dyDescent="0.25">
      <c r="A141" s="387" t="s">
        <v>311</v>
      </c>
      <c r="B141" s="376"/>
      <c r="C141" s="387"/>
      <c r="D141" s="377"/>
      <c r="E141" s="377"/>
      <c r="F141" s="377"/>
      <c r="J141" s="378">
        <f>+MAX(E143:E155)</f>
        <v>0.17899999999999999</v>
      </c>
    </row>
    <row r="142" spans="1:15" x14ac:dyDescent="0.25">
      <c r="A142" s="370" t="s">
        <v>62</v>
      </c>
      <c r="B142" s="389" t="s">
        <v>312</v>
      </c>
      <c r="C142" s="371"/>
      <c r="D142" s="377"/>
      <c r="E142" s="377"/>
      <c r="F142" s="377"/>
    </row>
    <row r="143" spans="1:15" x14ac:dyDescent="0.25">
      <c r="A143" s="370" t="s">
        <v>313</v>
      </c>
      <c r="B143" s="389" t="s">
        <v>314</v>
      </c>
      <c r="C143" s="371" t="s">
        <v>215</v>
      </c>
      <c r="D143" s="377">
        <f>+ROUND((E143*(1-$H$140)),4)</f>
        <v>7.6399999999999996E-2</v>
      </c>
      <c r="E143" s="377">
        <v>7.8E-2</v>
      </c>
      <c r="F143" s="377">
        <f>+ROUND((E143*(1+$I$140)),4)</f>
        <v>7.9600000000000004E-2</v>
      </c>
      <c r="J143" s="378"/>
      <c r="K143" s="381">
        <f>+ROUNDDOWN(+'L8 GALIC'!$G$18*'% admitidos'!D143,0)</f>
        <v>0</v>
      </c>
      <c r="L143" s="381">
        <f>+ROUND(+'L8 GALIC'!$G$18*'% admitidos'!E143,0)</f>
        <v>0</v>
      </c>
      <c r="M143" s="381">
        <f>+ROUNDUP(+'L8 GALIC'!$G$18*'% admitidos'!F143,0)</f>
        <v>0</v>
      </c>
      <c r="O143" s="382">
        <f t="shared" ref="O143" si="35">+M143-K143</f>
        <v>0</v>
      </c>
    </row>
    <row r="144" spans="1:15" x14ac:dyDescent="0.25">
      <c r="A144" s="370" t="s">
        <v>315</v>
      </c>
      <c r="B144" s="389" t="s">
        <v>316</v>
      </c>
      <c r="C144" s="371" t="s">
        <v>215</v>
      </c>
      <c r="D144" s="377">
        <f t="shared" ref="D144:D155" si="36">+ROUND((E144*(1-$H$140)),4)</f>
        <v>0.05</v>
      </c>
      <c r="E144" s="377">
        <v>5.0999999999999997E-2</v>
      </c>
      <c r="F144" s="377">
        <f t="shared" ref="F144:F155" si="37">+ROUND((E144*(1+$I$140)),4)</f>
        <v>5.1999999999999998E-2</v>
      </c>
      <c r="K144" s="381">
        <f>+ROUNDDOWN(+'L8 GALIC'!$G$18*'% admitidos'!D144,0)</f>
        <v>0</v>
      </c>
      <c r="L144" s="381">
        <f>+ROUND(+'L8 GALIC'!$G$18*'% admitidos'!E144,0)</f>
        <v>0</v>
      </c>
      <c r="M144" s="381">
        <f>+ROUNDUP(+'L8 GALIC'!$G$18*'% admitidos'!F144,0)</f>
        <v>0</v>
      </c>
      <c r="O144" s="382">
        <f t="shared" ref="O144:O155" si="38">+M144-K144</f>
        <v>0</v>
      </c>
    </row>
    <row r="145" spans="1:15" x14ac:dyDescent="0.25">
      <c r="A145" s="370" t="s">
        <v>317</v>
      </c>
      <c r="B145" s="389" t="s">
        <v>318</v>
      </c>
      <c r="C145" s="371" t="s">
        <v>215</v>
      </c>
      <c r="D145" s="377">
        <f t="shared" si="36"/>
        <v>0.15290000000000001</v>
      </c>
      <c r="E145" s="377">
        <v>0.156</v>
      </c>
      <c r="F145" s="377">
        <f t="shared" si="37"/>
        <v>0.15909999999999999</v>
      </c>
      <c r="K145" s="381">
        <f>+ROUNDDOWN(+'L8 GALIC'!$G$18*'% admitidos'!D145,0)</f>
        <v>0</v>
      </c>
      <c r="L145" s="381">
        <f>+ROUND(+'L8 GALIC'!$G$18*'% admitidos'!E145,0)</f>
        <v>0</v>
      </c>
      <c r="M145" s="381">
        <f>+ROUNDUP(+'L8 GALIC'!$G$18*'% admitidos'!F145,0)</f>
        <v>0</v>
      </c>
      <c r="O145" s="382">
        <f t="shared" si="38"/>
        <v>0</v>
      </c>
    </row>
    <row r="146" spans="1:15" x14ac:dyDescent="0.25">
      <c r="A146" s="370" t="s">
        <v>319</v>
      </c>
      <c r="B146" s="389" t="s">
        <v>320</v>
      </c>
      <c r="C146" s="371" t="s">
        <v>215</v>
      </c>
      <c r="D146" s="377">
        <f t="shared" si="36"/>
        <v>7.6399999999999996E-2</v>
      </c>
      <c r="E146" s="377">
        <v>7.8E-2</v>
      </c>
      <c r="F146" s="377">
        <f t="shared" si="37"/>
        <v>7.9600000000000004E-2</v>
      </c>
      <c r="K146" s="381">
        <f>+ROUNDDOWN(+'L8 GALIC'!$G$18*'% admitidos'!D146,0)</f>
        <v>0</v>
      </c>
      <c r="L146" s="381">
        <f>+ROUND(+'L8 GALIC'!$G$18*'% admitidos'!E146,0)</f>
        <v>0</v>
      </c>
      <c r="M146" s="381">
        <f>+ROUNDUP(+'L8 GALIC'!$G$18*'% admitidos'!F146,0)</f>
        <v>0</v>
      </c>
      <c r="O146" s="382">
        <f t="shared" si="38"/>
        <v>0</v>
      </c>
    </row>
    <row r="147" spans="1:15" x14ac:dyDescent="0.25">
      <c r="A147" s="370" t="s">
        <v>321</v>
      </c>
      <c r="B147" s="389" t="s">
        <v>322</v>
      </c>
      <c r="C147" s="371" t="s">
        <v>215</v>
      </c>
      <c r="D147" s="377">
        <f t="shared" si="36"/>
        <v>0.1225</v>
      </c>
      <c r="E147" s="377">
        <v>0.125</v>
      </c>
      <c r="F147" s="377">
        <f t="shared" si="37"/>
        <v>0.1275</v>
      </c>
      <c r="K147" s="381">
        <f>+ROUNDDOWN(+'L8 GALIC'!$G$18*'% admitidos'!D147,0)</f>
        <v>0</v>
      </c>
      <c r="L147" s="381">
        <f>+ROUND(+'L8 GALIC'!$G$18*'% admitidos'!E147,0)</f>
        <v>0</v>
      </c>
      <c r="M147" s="381">
        <f>+ROUNDUP(+'L8 GALIC'!$G$18*'% admitidos'!F147,0)</f>
        <v>0</v>
      </c>
      <c r="O147" s="382">
        <f t="shared" si="38"/>
        <v>0</v>
      </c>
    </row>
    <row r="148" spans="1:15" x14ac:dyDescent="0.25">
      <c r="A148" s="370" t="s">
        <v>323</v>
      </c>
      <c r="B148" s="389" t="s">
        <v>324</v>
      </c>
      <c r="C148" s="371" t="s">
        <v>215</v>
      </c>
      <c r="D148" s="377">
        <f>1-SUM(D143:D147)-SUM(D149:D155)</f>
        <v>0.19540000000000002</v>
      </c>
      <c r="E148" s="377">
        <f>1-SUM(E143:E147)-SUM(E149:E155)</f>
        <v>0.17899999999999999</v>
      </c>
      <c r="F148" s="377">
        <f>1-SUM(F143:F147)-SUM(F149:F155)</f>
        <v>0.16259999999999991</v>
      </c>
      <c r="K148" s="385">
        <f>+'L8 GALIC'!$G$18-SUM(K143:K147)-SUM(K149:K155)</f>
        <v>0</v>
      </c>
      <c r="L148" s="385">
        <f>+'L8 GALIC'!$G$18-SUM(L143:L147)-SUM(L149:L155)</f>
        <v>0</v>
      </c>
      <c r="M148" s="385">
        <f>+'L8 GALIC'!$G$18-SUM(M143:M147)-SUM(M149:M155)</f>
        <v>0</v>
      </c>
      <c r="O148" s="386">
        <f>-(+M148-K148)</f>
        <v>0</v>
      </c>
    </row>
    <row r="149" spans="1:15" x14ac:dyDescent="0.25">
      <c r="A149" s="370" t="s">
        <v>325</v>
      </c>
      <c r="B149" s="389" t="s">
        <v>326</v>
      </c>
      <c r="C149" s="371" t="s">
        <v>215</v>
      </c>
      <c r="D149" s="377">
        <f t="shared" si="36"/>
        <v>0.17150000000000001</v>
      </c>
      <c r="E149" s="377">
        <v>0.17499999999999999</v>
      </c>
      <c r="F149" s="377">
        <f t="shared" si="37"/>
        <v>0.17849999999999999</v>
      </c>
      <c r="K149" s="381">
        <f>+ROUNDDOWN(+'L8 GALIC'!$G$18*'% admitidos'!D149,0)</f>
        <v>0</v>
      </c>
      <c r="L149" s="381">
        <f>+ROUND(+'L8 GALIC'!$G$18*'% admitidos'!E149,0)</f>
        <v>0</v>
      </c>
      <c r="M149" s="381">
        <f>+ROUNDUP(+'L8 GALIC'!$G$18*'% admitidos'!F149,0)</f>
        <v>0</v>
      </c>
      <c r="O149" s="382">
        <f t="shared" si="38"/>
        <v>0</v>
      </c>
    </row>
    <row r="150" spans="1:15" x14ac:dyDescent="0.25">
      <c r="A150" s="370" t="s">
        <v>327</v>
      </c>
      <c r="B150" s="389" t="s">
        <v>328</v>
      </c>
      <c r="C150" s="371" t="s">
        <v>84</v>
      </c>
      <c r="D150" s="377">
        <f t="shared" si="36"/>
        <v>2.6499999999999999E-2</v>
      </c>
      <c r="E150" s="377">
        <v>2.7E-2</v>
      </c>
      <c r="F150" s="377">
        <f t="shared" si="37"/>
        <v>2.75E-2</v>
      </c>
      <c r="K150" s="381">
        <f>+ROUNDDOWN(+'L8 GALIC'!$G$18*'% admitidos'!D150,0)</f>
        <v>0</v>
      </c>
      <c r="L150" s="381">
        <f>+ROUND(+'L8 GALIC'!$G$18*'% admitidos'!E150,0)</f>
        <v>0</v>
      </c>
      <c r="M150" s="381">
        <f>+ROUNDUP(+'L8 GALIC'!$G$18*'% admitidos'!F150,0)</f>
        <v>0</v>
      </c>
      <c r="O150" s="382">
        <f t="shared" si="38"/>
        <v>0</v>
      </c>
    </row>
    <row r="151" spans="1:15" x14ac:dyDescent="0.25">
      <c r="A151" s="370" t="s">
        <v>329</v>
      </c>
      <c r="B151" s="389" t="s">
        <v>330</v>
      </c>
      <c r="C151" s="371" t="s">
        <v>84</v>
      </c>
      <c r="D151" s="377">
        <f t="shared" si="36"/>
        <v>1.8599999999999998E-2</v>
      </c>
      <c r="E151" s="377">
        <v>1.9E-2</v>
      </c>
      <c r="F151" s="377">
        <f t="shared" si="37"/>
        <v>1.9400000000000001E-2</v>
      </c>
      <c r="K151" s="381">
        <f>+ROUNDDOWN(+'L8 GALIC'!$G$18*'% admitidos'!D151,0)</f>
        <v>0</v>
      </c>
      <c r="L151" s="381">
        <f>+ROUND(+'L8 GALIC'!$G$18*'% admitidos'!E151,0)</f>
        <v>0</v>
      </c>
      <c r="M151" s="381">
        <f>+ROUNDUP(+'L8 GALIC'!$G$18*'% admitidos'!F151,0)</f>
        <v>0</v>
      </c>
      <c r="O151" s="382">
        <f t="shared" si="38"/>
        <v>0</v>
      </c>
    </row>
    <row r="152" spans="1:15" x14ac:dyDescent="0.25">
      <c r="A152" s="370" t="s">
        <v>331</v>
      </c>
      <c r="B152" s="389" t="s">
        <v>332</v>
      </c>
      <c r="C152" s="371" t="s">
        <v>84</v>
      </c>
      <c r="D152" s="377">
        <f t="shared" si="36"/>
        <v>2.6499999999999999E-2</v>
      </c>
      <c r="E152" s="377">
        <v>2.7E-2</v>
      </c>
      <c r="F152" s="377">
        <f t="shared" si="37"/>
        <v>2.75E-2</v>
      </c>
      <c r="K152" s="381">
        <f>+ROUNDDOWN(+'L8 GALIC'!$G$18*'% admitidos'!D152,0)</f>
        <v>0</v>
      </c>
      <c r="L152" s="381">
        <f>+ROUND(+'L8 GALIC'!$G$18*'% admitidos'!E152,0)</f>
        <v>0</v>
      </c>
      <c r="M152" s="381">
        <f>+ROUNDUP(+'L8 GALIC'!$G$18*'% admitidos'!F152,0)</f>
        <v>0</v>
      </c>
      <c r="O152" s="382">
        <f t="shared" si="38"/>
        <v>0</v>
      </c>
    </row>
    <row r="153" spans="1:15" x14ac:dyDescent="0.25">
      <c r="A153" s="370" t="s">
        <v>333</v>
      </c>
      <c r="B153" s="389" t="s">
        <v>334</v>
      </c>
      <c r="C153" s="371" t="s">
        <v>84</v>
      </c>
      <c r="D153" s="377">
        <f t="shared" si="36"/>
        <v>3.4299999999999997E-2</v>
      </c>
      <c r="E153" s="377">
        <v>3.5000000000000003E-2</v>
      </c>
      <c r="F153" s="377">
        <f t="shared" si="37"/>
        <v>3.5700000000000003E-2</v>
      </c>
      <c r="K153" s="381">
        <f>+ROUNDDOWN(+'L8 GALIC'!$G$18*'% admitidos'!D153,0)</f>
        <v>0</v>
      </c>
      <c r="L153" s="381">
        <f>+ROUND(+'L8 GALIC'!$G$18*'% admitidos'!E153,0)</f>
        <v>0</v>
      </c>
      <c r="M153" s="381">
        <f>+ROUNDUP(+'L8 GALIC'!$G$18*'% admitidos'!F153,0)</f>
        <v>0</v>
      </c>
      <c r="O153" s="382">
        <f t="shared" si="38"/>
        <v>0</v>
      </c>
    </row>
    <row r="154" spans="1:15" x14ac:dyDescent="0.25">
      <c r="A154" s="370" t="s">
        <v>335</v>
      </c>
      <c r="B154" s="389" t="s">
        <v>336</v>
      </c>
      <c r="C154" s="371" t="s">
        <v>84</v>
      </c>
      <c r="D154" s="377">
        <f t="shared" si="36"/>
        <v>2.6499999999999999E-2</v>
      </c>
      <c r="E154" s="377">
        <v>2.7E-2</v>
      </c>
      <c r="F154" s="377">
        <f t="shared" si="37"/>
        <v>2.75E-2</v>
      </c>
      <c r="K154" s="381">
        <f>+ROUNDDOWN(+'L8 GALIC'!$G$18*'% admitidos'!D154,0)</f>
        <v>0</v>
      </c>
      <c r="L154" s="381">
        <f>+ROUND(+'L8 GALIC'!$G$18*'% admitidos'!E154,0)</f>
        <v>0</v>
      </c>
      <c r="M154" s="381">
        <f>+ROUNDUP(+'L8 GALIC'!$G$18*'% admitidos'!F154,0)</f>
        <v>0</v>
      </c>
      <c r="O154" s="382">
        <f t="shared" si="38"/>
        <v>0</v>
      </c>
    </row>
    <row r="155" spans="1:15" x14ac:dyDescent="0.25">
      <c r="A155" s="370" t="s">
        <v>337</v>
      </c>
      <c r="B155" s="389" t="s">
        <v>338</v>
      </c>
      <c r="C155" s="371" t="s">
        <v>84</v>
      </c>
      <c r="D155" s="377">
        <f t="shared" si="36"/>
        <v>2.2499999999999999E-2</v>
      </c>
      <c r="E155" s="377">
        <v>2.3E-2</v>
      </c>
      <c r="F155" s="377">
        <f t="shared" si="37"/>
        <v>2.35E-2</v>
      </c>
      <c r="K155" s="381">
        <f>+ROUNDDOWN(+'L8 GALIC'!$G$18*'% admitidos'!D155,0)</f>
        <v>0</v>
      </c>
      <c r="L155" s="381">
        <f>+ROUND(+'L8 GALIC'!$G$18*'% admitidos'!E155,0)</f>
        <v>0</v>
      </c>
      <c r="M155" s="381">
        <f>+ROUNDUP(+'L8 GALIC'!$G$18*'% admitidos'!F155,0)</f>
        <v>0</v>
      </c>
      <c r="O155" s="382">
        <f t="shared" si="38"/>
        <v>0</v>
      </c>
    </row>
    <row r="156" spans="1:15" x14ac:dyDescent="0.25">
      <c r="A156" s="387" t="s">
        <v>357</v>
      </c>
      <c r="B156" s="388"/>
      <c r="C156" s="388"/>
      <c r="D156" s="383">
        <f>SUM(D143:D155)</f>
        <v>0.99999999999999978</v>
      </c>
      <c r="E156" s="383">
        <f>+SUM(E143:E155)</f>
        <v>1.0000000000000002</v>
      </c>
      <c r="F156" s="383">
        <f>SUM(F143:F155)</f>
        <v>0.99999999999999967</v>
      </c>
      <c r="G156" s="388"/>
      <c r="H156" s="388"/>
      <c r="I156" s="388"/>
      <c r="K156" s="385">
        <f>SUM(K143:K155)</f>
        <v>0</v>
      </c>
      <c r="L156" s="385">
        <f>SUM(L143:L155)</f>
        <v>0</v>
      </c>
      <c r="M156" s="385">
        <f>SUM(M143:M155)</f>
        <v>0</v>
      </c>
    </row>
    <row r="157" spans="1:15" ht="18.75" x14ac:dyDescent="0.3">
      <c r="A157" s="370" t="s">
        <v>59</v>
      </c>
      <c r="B157" s="370" t="s">
        <v>61</v>
      </c>
      <c r="C157" s="371" t="s">
        <v>60</v>
      </c>
      <c r="D157" s="390" t="s">
        <v>121</v>
      </c>
      <c r="E157" s="390" t="s">
        <v>123</v>
      </c>
      <c r="F157" s="390" t="s">
        <v>122</v>
      </c>
      <c r="H157" s="391">
        <v>0.02</v>
      </c>
      <c r="I157" s="391">
        <v>0.02</v>
      </c>
      <c r="K157" s="366" t="s">
        <v>369</v>
      </c>
      <c r="L157" s="366" t="s">
        <v>367</v>
      </c>
      <c r="M157" s="366" t="s">
        <v>368</v>
      </c>
      <c r="O157" s="374" t="s">
        <v>388</v>
      </c>
    </row>
    <row r="158" spans="1:15" x14ac:dyDescent="0.25">
      <c r="A158" s="387" t="s">
        <v>339</v>
      </c>
      <c r="B158" s="376"/>
      <c r="C158" s="387"/>
      <c r="D158" s="377"/>
      <c r="E158" s="377"/>
      <c r="F158" s="377"/>
      <c r="J158" s="378">
        <f>+MAX(E160:E164)</f>
        <v>0.42700000000000005</v>
      </c>
      <c r="O158" s="374"/>
    </row>
    <row r="159" spans="1:15" x14ac:dyDescent="0.25">
      <c r="A159" s="370" t="s">
        <v>62</v>
      </c>
      <c r="B159" s="389" t="s">
        <v>340</v>
      </c>
      <c r="C159" s="371"/>
      <c r="D159" s="377"/>
      <c r="E159" s="377"/>
      <c r="F159" s="377"/>
      <c r="O159" s="374"/>
    </row>
    <row r="160" spans="1:15" x14ac:dyDescent="0.25">
      <c r="A160" s="370" t="s">
        <v>341</v>
      </c>
      <c r="B160" s="389" t="s">
        <v>342</v>
      </c>
      <c r="C160" s="371" t="s">
        <v>215</v>
      </c>
      <c r="D160" s="377">
        <f>+ROUND((E160*(1-$H$157)),4)</f>
        <v>0.2097</v>
      </c>
      <c r="E160" s="377">
        <v>0.214</v>
      </c>
      <c r="F160" s="377">
        <f>+ROUND((E160*(1+$I$157)),4)</f>
        <v>0.21829999999999999</v>
      </c>
      <c r="J160" s="378"/>
      <c r="K160" s="381">
        <f>+ROUNDDOWN(+'L9 CANAR'!$G$18*'% admitidos'!D160,0)</f>
        <v>0</v>
      </c>
      <c r="L160" s="381">
        <f>+ROUND(+'L9 CANAR'!$G$18*'% admitidos'!E160,0)</f>
        <v>0</v>
      </c>
      <c r="M160" s="381">
        <f>+ROUNDUP(+'L9 CANAR'!$G$18*'% admitidos'!F160,0)</f>
        <v>0</v>
      </c>
      <c r="O160" s="382">
        <f t="shared" ref="O160" si="39">+M160-K160</f>
        <v>0</v>
      </c>
    </row>
    <row r="161" spans="1:16" x14ac:dyDescent="0.25">
      <c r="A161" s="370" t="s">
        <v>343</v>
      </c>
      <c r="B161" s="389" t="s">
        <v>344</v>
      </c>
      <c r="C161" s="371" t="s">
        <v>215</v>
      </c>
      <c r="D161" s="377">
        <f>1-D160-SUM(D162:D164)</f>
        <v>0.4385</v>
      </c>
      <c r="E161" s="377">
        <f>1-E160-SUM(E162:E164)</f>
        <v>0.42700000000000005</v>
      </c>
      <c r="F161" s="377">
        <f>1-F160-SUM(F162:F164)</f>
        <v>0.41550000000000004</v>
      </c>
      <c r="K161" s="385">
        <f>+'L9 CANAR'!$G$18-K160-SUM(K162:K164)</f>
        <v>0</v>
      </c>
      <c r="L161" s="385">
        <f>+'L9 CANAR'!$G$18-L160-SUM(L162:L164)</f>
        <v>0</v>
      </c>
      <c r="M161" s="385">
        <f>+'L9 CANAR'!$G$18-M160-SUM(M162:M164)</f>
        <v>0</v>
      </c>
      <c r="O161" s="386">
        <f>-(+M161-K161)</f>
        <v>0</v>
      </c>
    </row>
    <row r="162" spans="1:16" x14ac:dyDescent="0.25">
      <c r="A162" s="370" t="s">
        <v>345</v>
      </c>
      <c r="B162" s="389" t="s">
        <v>346</v>
      </c>
      <c r="C162" s="371" t="s">
        <v>215</v>
      </c>
      <c r="D162" s="377">
        <f t="shared" ref="D162:D164" si="40">+ROUND((E162*(1-$H$157)),4)</f>
        <v>0.247</v>
      </c>
      <c r="E162" s="377">
        <v>0.252</v>
      </c>
      <c r="F162" s="377">
        <f t="shared" ref="F162:F164" si="41">+ROUND((E162*(1+$I$157)),4)</f>
        <v>0.25700000000000001</v>
      </c>
      <c r="K162" s="381">
        <f>+ROUNDDOWN(+'L9 CANAR'!$G$18*'% admitidos'!D162,0)</f>
        <v>0</v>
      </c>
      <c r="L162" s="381">
        <f>+ROUND(+'L9 CANAR'!$G$18*'% admitidos'!E162,0)</f>
        <v>0</v>
      </c>
      <c r="M162" s="381">
        <f>+ROUNDUP(+'L9 CANAR'!$G$18*'% admitidos'!F162,0)</f>
        <v>0</v>
      </c>
      <c r="O162" s="382">
        <f t="shared" ref="O162:O164" si="42">+M162-K162</f>
        <v>0</v>
      </c>
    </row>
    <row r="163" spans="1:16" x14ac:dyDescent="0.25">
      <c r="A163" s="370" t="s">
        <v>347</v>
      </c>
      <c r="B163" s="389" t="s">
        <v>348</v>
      </c>
      <c r="C163" s="371" t="s">
        <v>84</v>
      </c>
      <c r="D163" s="377">
        <f t="shared" si="40"/>
        <v>5.6800000000000003E-2</v>
      </c>
      <c r="E163" s="377">
        <v>5.8000000000000003E-2</v>
      </c>
      <c r="F163" s="377">
        <f t="shared" si="41"/>
        <v>5.9200000000000003E-2</v>
      </c>
      <c r="K163" s="381">
        <f>+ROUNDDOWN(+'L9 CANAR'!$G$18*'% admitidos'!D163,0)</f>
        <v>0</v>
      </c>
      <c r="L163" s="381">
        <f>+ROUND(+'L9 CANAR'!$G$18*'% admitidos'!E163,0)</f>
        <v>0</v>
      </c>
      <c r="M163" s="381">
        <f>+ROUNDUP(+'L9 CANAR'!$G$18*'% admitidos'!F163,0)</f>
        <v>0</v>
      </c>
      <c r="O163" s="382">
        <f t="shared" si="42"/>
        <v>0</v>
      </c>
    </row>
    <row r="164" spans="1:16" x14ac:dyDescent="0.25">
      <c r="A164" s="370" t="s">
        <v>349</v>
      </c>
      <c r="B164" s="389" t="s">
        <v>350</v>
      </c>
      <c r="C164" s="371" t="s">
        <v>84</v>
      </c>
      <c r="D164" s="377">
        <f t="shared" si="40"/>
        <v>4.8000000000000001E-2</v>
      </c>
      <c r="E164" s="377">
        <v>4.9000000000000002E-2</v>
      </c>
      <c r="F164" s="377">
        <f t="shared" si="41"/>
        <v>0.05</v>
      </c>
      <c r="K164" s="381">
        <f>+ROUNDDOWN(+'L9 CANAR'!$G$18*'% admitidos'!D164,0)</f>
        <v>0</v>
      </c>
      <c r="L164" s="381">
        <f>+ROUND(+'L9 CANAR'!$G$18*'% admitidos'!E164,0)</f>
        <v>0</v>
      </c>
      <c r="M164" s="381">
        <f>+ROUNDUP(+'L9 CANAR'!$G$18*'% admitidos'!F164,0)</f>
        <v>0</v>
      </c>
      <c r="O164" s="382">
        <f t="shared" si="42"/>
        <v>0</v>
      </c>
    </row>
    <row r="165" spans="1:16" x14ac:dyDescent="0.25">
      <c r="A165" s="387" t="s">
        <v>358</v>
      </c>
      <c r="B165" s="388"/>
      <c r="C165" s="388"/>
      <c r="D165" s="383">
        <f>SUM(D160:D164)</f>
        <v>1</v>
      </c>
      <c r="E165" s="383">
        <f>+SUM(E160:E164)</f>
        <v>1</v>
      </c>
      <c r="F165" s="383">
        <f>SUM(F160:F164)</f>
        <v>1</v>
      </c>
      <c r="G165" s="388"/>
      <c r="H165" s="388"/>
      <c r="I165" s="388"/>
      <c r="K165" s="385">
        <f>SUM(K160:K164)</f>
        <v>0</v>
      </c>
      <c r="L165" s="385">
        <f>SUM(L160:L164)</f>
        <v>0</v>
      </c>
      <c r="M165" s="385">
        <f>SUM(M160:M164)</f>
        <v>0</v>
      </c>
      <c r="O165" s="374"/>
    </row>
    <row r="166" spans="1:16" x14ac:dyDescent="0.25">
      <c r="A166" s="370" t="s">
        <v>498</v>
      </c>
      <c r="K166" s="381"/>
      <c r="L166" s="381"/>
      <c r="M166" s="381"/>
      <c r="O166" s="382"/>
      <c r="P166" s="382"/>
    </row>
    <row r="167" spans="1:16" x14ac:dyDescent="0.25">
      <c r="A167" s="387" t="s">
        <v>391</v>
      </c>
      <c r="K167" s="385">
        <f>+K25+K47+K60+K72+K97+K119+K139+K156+K165</f>
        <v>0</v>
      </c>
      <c r="L167" s="385">
        <f>+L25+L47+L60+L72+L97+L119+L139+L156+L165</f>
        <v>0</v>
      </c>
      <c r="M167" s="385">
        <f>+M25+M47+M60+M72+M97+M119+M139+M156+M165</f>
        <v>0</v>
      </c>
    </row>
  </sheetData>
  <sheetProtection algorithmName="SHA-512" hashValue="mqa3Zg2kuYXCF0ikp1zipCZ+iceTECy9rBqp6yRFVoO3kQQdEsEHj3h7QiK/SIBS60Co3HiQPTcyVPxwW7PZOA==" saltValue="51BJmlIN7FN3A2H0/3Reug==" spinCount="100000" sheet="1" objects="1" scenarios="1" selectLockedCells="1" selectUnlockedCells="1"/>
  <printOptions horizontalCentered="1"/>
  <pageMargins left="0.51181102362204722" right="0.51181102362204722" top="0.74803149606299213" bottom="0.74803149606299213" header="0.31496062992125984" footer="0.31496062992125984"/>
  <pageSetup paperSize="9" scale="1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85687-51E7-4590-B621-AC402244BA78}">
  <sheetPr codeName="Hoja15"/>
  <dimension ref="A1:L648"/>
  <sheetViews>
    <sheetView zoomScale="120" zoomScaleNormal="120" workbookViewId="0">
      <pane ySplit="5" topLeftCell="A6" activePane="bottomLeft" state="frozen"/>
      <selection pane="bottomLeft" sqref="A1:XFD1048576"/>
    </sheetView>
  </sheetViews>
  <sheetFormatPr baseColWidth="10" defaultRowHeight="15" x14ac:dyDescent="0.25"/>
  <cols>
    <col min="1" max="1" width="1.5703125" style="395" bestFit="1" customWidth="1"/>
    <col min="2" max="11" width="11.42578125" style="395"/>
    <col min="12" max="12" width="11.42578125" style="396"/>
    <col min="13" max="16384" width="11.42578125" style="395"/>
  </cols>
  <sheetData>
    <row r="1" spans="1:11" x14ac:dyDescent="0.25">
      <c r="A1" s="395" t="s">
        <v>390</v>
      </c>
    </row>
    <row r="2" spans="1:11" ht="15" customHeight="1" x14ac:dyDescent="0.25">
      <c r="A2" s="395" t="s">
        <v>390</v>
      </c>
      <c r="B2" s="395" t="s">
        <v>543</v>
      </c>
    </row>
    <row r="3" spans="1:11" ht="15" customHeight="1" x14ac:dyDescent="0.25">
      <c r="A3" s="395" t="s">
        <v>390</v>
      </c>
      <c r="B3" s="397" t="s">
        <v>59</v>
      </c>
      <c r="C3" s="397" t="s">
        <v>392</v>
      </c>
      <c r="D3" s="397" t="s">
        <v>60</v>
      </c>
      <c r="E3" s="397" t="s">
        <v>393</v>
      </c>
      <c r="F3" s="398" t="s">
        <v>394</v>
      </c>
      <c r="G3" s="399" t="s">
        <v>360</v>
      </c>
      <c r="H3" s="399" t="s">
        <v>361</v>
      </c>
      <c r="I3" s="398" t="s">
        <v>17</v>
      </c>
      <c r="J3" s="398" t="s">
        <v>17</v>
      </c>
      <c r="K3" s="400"/>
    </row>
    <row r="4" spans="1:11" x14ac:dyDescent="0.25">
      <c r="A4" s="395" t="s">
        <v>390</v>
      </c>
      <c r="B4" s="397"/>
      <c r="C4" s="397"/>
      <c r="D4" s="397"/>
      <c r="E4" s="397"/>
      <c r="F4" s="398" t="s">
        <v>395</v>
      </c>
      <c r="G4" s="399"/>
      <c r="H4" s="399"/>
      <c r="I4" s="398" t="s">
        <v>396</v>
      </c>
      <c r="J4" s="398" t="s">
        <v>397</v>
      </c>
      <c r="K4" s="400"/>
    </row>
    <row r="5" spans="1:11" x14ac:dyDescent="0.25">
      <c r="A5" s="395" t="s">
        <v>390</v>
      </c>
      <c r="B5" s="397"/>
      <c r="C5" s="397"/>
      <c r="D5" s="397"/>
      <c r="E5" s="397"/>
      <c r="F5" s="401"/>
      <c r="G5" s="399"/>
      <c r="H5" s="399"/>
      <c r="I5" s="401"/>
      <c r="J5" s="398" t="s">
        <v>398</v>
      </c>
      <c r="K5" s="402"/>
    </row>
    <row r="6" spans="1:11" x14ac:dyDescent="0.25">
      <c r="A6" s="395" t="s">
        <v>390</v>
      </c>
      <c r="B6" s="403" t="s">
        <v>399</v>
      </c>
      <c r="C6" s="403" t="s">
        <v>400</v>
      </c>
      <c r="D6" s="404"/>
      <c r="E6" s="404"/>
      <c r="F6" s="405" t="s">
        <v>578</v>
      </c>
      <c r="G6" s="404"/>
      <c r="H6" s="403"/>
      <c r="I6" s="406"/>
      <c r="J6" s="403"/>
      <c r="K6" s="402"/>
    </row>
    <row r="7" spans="1:11" x14ac:dyDescent="0.25">
      <c r="A7" s="395" t="s">
        <v>390</v>
      </c>
      <c r="B7" s="403"/>
      <c r="C7" s="403" t="s">
        <v>401</v>
      </c>
      <c r="D7" s="404"/>
      <c r="E7" s="407"/>
      <c r="F7" s="403"/>
      <c r="G7" s="407"/>
      <c r="H7" s="403"/>
      <c r="I7" s="403"/>
      <c r="J7" s="408">
        <v>40800</v>
      </c>
      <c r="K7" s="402"/>
    </row>
    <row r="8" spans="1:11" ht="15.75" customHeight="1" x14ac:dyDescent="0.25">
      <c r="A8" s="395" t="s">
        <v>390</v>
      </c>
      <c r="B8" s="409" t="s">
        <v>64</v>
      </c>
      <c r="C8" s="410" t="s">
        <v>402</v>
      </c>
      <c r="D8" s="397" t="s">
        <v>215</v>
      </c>
      <c r="E8" s="411" t="s">
        <v>66</v>
      </c>
      <c r="F8" s="412">
        <v>8.5999999999999993E-2</v>
      </c>
      <c r="G8" s="403" t="s">
        <v>25</v>
      </c>
      <c r="H8" s="413">
        <v>0.15</v>
      </c>
      <c r="I8" s="414">
        <v>525</v>
      </c>
      <c r="J8" s="415">
        <v>3500</v>
      </c>
      <c r="K8" s="402"/>
    </row>
    <row r="9" spans="1:11" x14ac:dyDescent="0.25">
      <c r="A9" s="395" t="s">
        <v>390</v>
      </c>
      <c r="B9" s="409"/>
      <c r="C9" s="410"/>
      <c r="D9" s="397"/>
      <c r="E9" s="411"/>
      <c r="F9" s="412"/>
      <c r="G9" s="403" t="s">
        <v>26</v>
      </c>
      <c r="H9" s="413">
        <v>0.1</v>
      </c>
      <c r="I9" s="414">
        <v>350</v>
      </c>
      <c r="J9" s="415"/>
      <c r="K9" s="402"/>
    </row>
    <row r="10" spans="1:11" x14ac:dyDescent="0.25">
      <c r="A10" s="395" t="s">
        <v>390</v>
      </c>
      <c r="B10" s="409"/>
      <c r="C10" s="410"/>
      <c r="D10" s="397"/>
      <c r="E10" s="411"/>
      <c r="F10" s="412"/>
      <c r="G10" s="403" t="s">
        <v>27</v>
      </c>
      <c r="H10" s="413">
        <v>0.2</v>
      </c>
      <c r="I10" s="414">
        <v>700</v>
      </c>
      <c r="J10" s="415"/>
      <c r="K10" s="402"/>
    </row>
    <row r="11" spans="1:11" x14ac:dyDescent="0.25">
      <c r="A11" s="395" t="s">
        <v>390</v>
      </c>
      <c r="B11" s="409"/>
      <c r="C11" s="410"/>
      <c r="D11" s="397"/>
      <c r="E11" s="411"/>
      <c r="F11" s="412"/>
      <c r="G11" s="403" t="s">
        <v>57</v>
      </c>
      <c r="H11" s="413">
        <v>0.05</v>
      </c>
      <c r="I11" s="414">
        <v>175</v>
      </c>
      <c r="J11" s="415"/>
      <c r="K11" s="402"/>
    </row>
    <row r="12" spans="1:11" x14ac:dyDescent="0.25">
      <c r="A12" s="395" t="s">
        <v>390</v>
      </c>
      <c r="B12" s="409"/>
      <c r="C12" s="410"/>
      <c r="D12" s="397"/>
      <c r="E12" s="411"/>
      <c r="F12" s="412"/>
      <c r="G12" s="403" t="s">
        <v>364</v>
      </c>
      <c r="H12" s="413">
        <v>0.5</v>
      </c>
      <c r="I12" s="416">
        <v>1750</v>
      </c>
      <c r="J12" s="415"/>
      <c r="K12" s="402"/>
    </row>
    <row r="13" spans="1:11" ht="15.75" customHeight="1" x14ac:dyDescent="0.25">
      <c r="A13" s="395" t="s">
        <v>390</v>
      </c>
      <c r="B13" s="409" t="s">
        <v>67</v>
      </c>
      <c r="C13" s="410" t="s">
        <v>68</v>
      </c>
      <c r="D13" s="397" t="s">
        <v>215</v>
      </c>
      <c r="E13" s="411" t="s">
        <v>69</v>
      </c>
      <c r="F13" s="412">
        <v>7.0999999999999994E-2</v>
      </c>
      <c r="G13" s="403" t="s">
        <v>25</v>
      </c>
      <c r="H13" s="413">
        <v>0.15</v>
      </c>
      <c r="I13" s="414">
        <v>435</v>
      </c>
      <c r="J13" s="415">
        <v>2900</v>
      </c>
      <c r="K13" s="402"/>
    </row>
    <row r="14" spans="1:11" x14ac:dyDescent="0.25">
      <c r="A14" s="395" t="s">
        <v>390</v>
      </c>
      <c r="B14" s="409"/>
      <c r="C14" s="410"/>
      <c r="D14" s="397"/>
      <c r="E14" s="411"/>
      <c r="F14" s="412"/>
      <c r="G14" s="403" t="s">
        <v>26</v>
      </c>
      <c r="H14" s="413">
        <v>0.1</v>
      </c>
      <c r="I14" s="414">
        <v>290</v>
      </c>
      <c r="J14" s="415"/>
      <c r="K14" s="402"/>
    </row>
    <row r="15" spans="1:11" x14ac:dyDescent="0.25">
      <c r="A15" s="395" t="s">
        <v>390</v>
      </c>
      <c r="B15" s="409"/>
      <c r="C15" s="410"/>
      <c r="D15" s="397"/>
      <c r="E15" s="411"/>
      <c r="F15" s="412"/>
      <c r="G15" s="403" t="s">
        <v>27</v>
      </c>
      <c r="H15" s="413">
        <v>0.2</v>
      </c>
      <c r="I15" s="414">
        <v>580</v>
      </c>
      <c r="J15" s="415"/>
      <c r="K15" s="402"/>
    </row>
    <row r="16" spans="1:11" x14ac:dyDescent="0.25">
      <c r="A16" s="395" t="s">
        <v>390</v>
      </c>
      <c r="B16" s="409"/>
      <c r="C16" s="410"/>
      <c r="D16" s="397"/>
      <c r="E16" s="411"/>
      <c r="F16" s="412"/>
      <c r="G16" s="403" t="s">
        <v>57</v>
      </c>
      <c r="H16" s="413">
        <v>0.05</v>
      </c>
      <c r="I16" s="414">
        <v>145</v>
      </c>
      <c r="J16" s="415"/>
      <c r="K16" s="402"/>
    </row>
    <row r="17" spans="1:11" x14ac:dyDescent="0.25">
      <c r="A17" s="395" t="s">
        <v>390</v>
      </c>
      <c r="B17" s="409"/>
      <c r="C17" s="410"/>
      <c r="D17" s="397"/>
      <c r="E17" s="411"/>
      <c r="F17" s="412"/>
      <c r="G17" s="403" t="s">
        <v>364</v>
      </c>
      <c r="H17" s="413">
        <v>0.5</v>
      </c>
      <c r="I17" s="416">
        <v>1450</v>
      </c>
      <c r="J17" s="415"/>
      <c r="K17" s="402"/>
    </row>
    <row r="18" spans="1:11" ht="15.75" customHeight="1" x14ac:dyDescent="0.25">
      <c r="A18" s="395" t="s">
        <v>390</v>
      </c>
      <c r="B18" s="409" t="s">
        <v>70</v>
      </c>
      <c r="C18" s="410" t="s">
        <v>71</v>
      </c>
      <c r="D18" s="397" t="s">
        <v>215</v>
      </c>
      <c r="E18" s="411" t="s">
        <v>72</v>
      </c>
      <c r="F18" s="412">
        <v>5.0999999999999997E-2</v>
      </c>
      <c r="G18" s="403" t="s">
        <v>25</v>
      </c>
      <c r="H18" s="413">
        <v>0.15</v>
      </c>
      <c r="I18" s="414">
        <v>315</v>
      </c>
      <c r="J18" s="415">
        <v>2100</v>
      </c>
      <c r="K18" s="402"/>
    </row>
    <row r="19" spans="1:11" x14ac:dyDescent="0.25">
      <c r="A19" s="395" t="s">
        <v>390</v>
      </c>
      <c r="B19" s="409"/>
      <c r="C19" s="410"/>
      <c r="D19" s="397"/>
      <c r="E19" s="411"/>
      <c r="F19" s="412"/>
      <c r="G19" s="403" t="s">
        <v>26</v>
      </c>
      <c r="H19" s="413">
        <v>0.1</v>
      </c>
      <c r="I19" s="414">
        <v>210</v>
      </c>
      <c r="J19" s="415"/>
      <c r="K19" s="402"/>
    </row>
    <row r="20" spans="1:11" x14ac:dyDescent="0.25">
      <c r="A20" s="395" t="s">
        <v>390</v>
      </c>
      <c r="B20" s="409"/>
      <c r="C20" s="410"/>
      <c r="D20" s="397"/>
      <c r="E20" s="411"/>
      <c r="F20" s="412"/>
      <c r="G20" s="403" t="s">
        <v>27</v>
      </c>
      <c r="H20" s="413">
        <v>0.2</v>
      </c>
      <c r="I20" s="414">
        <v>420</v>
      </c>
      <c r="J20" s="415"/>
      <c r="K20" s="402"/>
    </row>
    <row r="21" spans="1:11" x14ac:dyDescent="0.25">
      <c r="A21" s="395" t="s">
        <v>390</v>
      </c>
      <c r="B21" s="409"/>
      <c r="C21" s="410"/>
      <c r="D21" s="397"/>
      <c r="E21" s="411"/>
      <c r="F21" s="412"/>
      <c r="G21" s="403" t="s">
        <v>57</v>
      </c>
      <c r="H21" s="413">
        <v>0.05</v>
      </c>
      <c r="I21" s="414">
        <v>105</v>
      </c>
      <c r="J21" s="415"/>
      <c r="K21" s="402"/>
    </row>
    <row r="22" spans="1:11" x14ac:dyDescent="0.25">
      <c r="A22" s="395" t="s">
        <v>390</v>
      </c>
      <c r="B22" s="409"/>
      <c r="C22" s="410"/>
      <c r="D22" s="397"/>
      <c r="E22" s="411"/>
      <c r="F22" s="412"/>
      <c r="G22" s="403" t="s">
        <v>364</v>
      </c>
      <c r="H22" s="413">
        <v>0.5</v>
      </c>
      <c r="I22" s="416">
        <v>1050</v>
      </c>
      <c r="J22" s="415"/>
      <c r="K22" s="402"/>
    </row>
    <row r="23" spans="1:11" ht="15.75" customHeight="1" x14ac:dyDescent="0.25">
      <c r="A23" s="395" t="s">
        <v>390</v>
      </c>
      <c r="B23" s="409" t="s">
        <v>73</v>
      </c>
      <c r="C23" s="410" t="s">
        <v>74</v>
      </c>
      <c r="D23" s="397" t="s">
        <v>215</v>
      </c>
      <c r="E23" s="411" t="s">
        <v>75</v>
      </c>
      <c r="F23" s="412">
        <v>6.0999999999999999E-2</v>
      </c>
      <c r="G23" s="403" t="s">
        <v>25</v>
      </c>
      <c r="H23" s="413">
        <v>0.15</v>
      </c>
      <c r="I23" s="414">
        <v>375</v>
      </c>
      <c r="J23" s="415">
        <v>2500</v>
      </c>
      <c r="K23" s="402"/>
    </row>
    <row r="24" spans="1:11" x14ac:dyDescent="0.25">
      <c r="A24" s="395" t="s">
        <v>390</v>
      </c>
      <c r="B24" s="409"/>
      <c r="C24" s="410"/>
      <c r="D24" s="397"/>
      <c r="E24" s="411"/>
      <c r="F24" s="412"/>
      <c r="G24" s="403" t="s">
        <v>26</v>
      </c>
      <c r="H24" s="413">
        <v>0.1</v>
      </c>
      <c r="I24" s="414">
        <v>250</v>
      </c>
      <c r="J24" s="415"/>
      <c r="K24" s="402"/>
    </row>
    <row r="25" spans="1:11" x14ac:dyDescent="0.25">
      <c r="A25" s="395" t="s">
        <v>390</v>
      </c>
      <c r="B25" s="409"/>
      <c r="C25" s="410"/>
      <c r="D25" s="397"/>
      <c r="E25" s="411"/>
      <c r="F25" s="412"/>
      <c r="G25" s="403" t="s">
        <v>27</v>
      </c>
      <c r="H25" s="413">
        <v>0.2</v>
      </c>
      <c r="I25" s="414">
        <v>500</v>
      </c>
      <c r="J25" s="415"/>
      <c r="K25" s="402"/>
    </row>
    <row r="26" spans="1:11" x14ac:dyDescent="0.25">
      <c r="A26" s="395" t="s">
        <v>390</v>
      </c>
      <c r="B26" s="409"/>
      <c r="C26" s="410"/>
      <c r="D26" s="397"/>
      <c r="E26" s="411"/>
      <c r="F26" s="412"/>
      <c r="G26" s="403" t="s">
        <v>57</v>
      </c>
      <c r="H26" s="413">
        <v>0.05</v>
      </c>
      <c r="I26" s="414">
        <v>125</v>
      </c>
      <c r="J26" s="415"/>
      <c r="K26" s="402"/>
    </row>
    <row r="27" spans="1:11" x14ac:dyDescent="0.25">
      <c r="A27" s="395" t="s">
        <v>390</v>
      </c>
      <c r="B27" s="409"/>
      <c r="C27" s="410"/>
      <c r="D27" s="397"/>
      <c r="E27" s="411"/>
      <c r="F27" s="412"/>
      <c r="G27" s="403" t="s">
        <v>364</v>
      </c>
      <c r="H27" s="413">
        <v>0.5</v>
      </c>
      <c r="I27" s="416">
        <v>1250</v>
      </c>
      <c r="J27" s="415"/>
      <c r="K27" s="402"/>
    </row>
    <row r="28" spans="1:11" ht="15.75" customHeight="1" x14ac:dyDescent="0.25">
      <c r="A28" s="395" t="s">
        <v>390</v>
      </c>
      <c r="B28" s="409" t="s">
        <v>76</v>
      </c>
      <c r="C28" s="410" t="s">
        <v>77</v>
      </c>
      <c r="D28" s="397" t="s">
        <v>215</v>
      </c>
      <c r="E28" s="411" t="s">
        <v>78</v>
      </c>
      <c r="F28" s="412">
        <v>0.13200000000000001</v>
      </c>
      <c r="G28" s="403" t="s">
        <v>25</v>
      </c>
      <c r="H28" s="413">
        <v>0.15</v>
      </c>
      <c r="I28" s="414">
        <v>810</v>
      </c>
      <c r="J28" s="415">
        <v>5400</v>
      </c>
      <c r="K28" s="402"/>
    </row>
    <row r="29" spans="1:11" x14ac:dyDescent="0.25">
      <c r="A29" s="395" t="s">
        <v>390</v>
      </c>
      <c r="B29" s="409"/>
      <c r="C29" s="410"/>
      <c r="D29" s="397"/>
      <c r="E29" s="411"/>
      <c r="F29" s="412"/>
      <c r="G29" s="403" t="s">
        <v>26</v>
      </c>
      <c r="H29" s="413">
        <v>0.1</v>
      </c>
      <c r="I29" s="414">
        <v>540</v>
      </c>
      <c r="J29" s="415"/>
      <c r="K29" s="402"/>
    </row>
    <row r="30" spans="1:11" x14ac:dyDescent="0.25">
      <c r="A30" s="395" t="s">
        <v>390</v>
      </c>
      <c r="B30" s="409"/>
      <c r="C30" s="410"/>
      <c r="D30" s="397"/>
      <c r="E30" s="411"/>
      <c r="F30" s="412"/>
      <c r="G30" s="403" t="s">
        <v>27</v>
      </c>
      <c r="H30" s="413">
        <v>0.2</v>
      </c>
      <c r="I30" s="416">
        <v>1080</v>
      </c>
      <c r="J30" s="415"/>
      <c r="K30" s="402"/>
    </row>
    <row r="31" spans="1:11" x14ac:dyDescent="0.25">
      <c r="A31" s="395" t="s">
        <v>390</v>
      </c>
      <c r="B31" s="409"/>
      <c r="C31" s="410"/>
      <c r="D31" s="397"/>
      <c r="E31" s="411"/>
      <c r="F31" s="412"/>
      <c r="G31" s="403" t="s">
        <v>57</v>
      </c>
      <c r="H31" s="413">
        <v>0.05</v>
      </c>
      <c r="I31" s="414">
        <v>270</v>
      </c>
      <c r="J31" s="415"/>
      <c r="K31" s="402"/>
    </row>
    <row r="32" spans="1:11" x14ac:dyDescent="0.25">
      <c r="A32" s="395" t="s">
        <v>390</v>
      </c>
      <c r="B32" s="409"/>
      <c r="C32" s="410"/>
      <c r="D32" s="397"/>
      <c r="E32" s="411"/>
      <c r="F32" s="412"/>
      <c r="G32" s="403" t="s">
        <v>364</v>
      </c>
      <c r="H32" s="413">
        <v>0.5</v>
      </c>
      <c r="I32" s="416">
        <v>2700</v>
      </c>
      <c r="J32" s="415"/>
      <c r="K32" s="402"/>
    </row>
    <row r="33" spans="1:11" ht="15.75" customHeight="1" x14ac:dyDescent="0.25">
      <c r="A33" s="395" t="s">
        <v>390</v>
      </c>
      <c r="B33" s="409" t="s">
        <v>79</v>
      </c>
      <c r="C33" s="417" t="s">
        <v>80</v>
      </c>
      <c r="D33" s="397" t="s">
        <v>215</v>
      </c>
      <c r="E33" s="411" t="s">
        <v>81</v>
      </c>
      <c r="F33" s="418">
        <v>0.17</v>
      </c>
      <c r="G33" s="403" t="s">
        <v>25</v>
      </c>
      <c r="H33" s="413">
        <v>0.15</v>
      </c>
      <c r="I33" s="416">
        <v>1035</v>
      </c>
      <c r="J33" s="415">
        <v>6900</v>
      </c>
      <c r="K33" s="402"/>
    </row>
    <row r="34" spans="1:11" x14ac:dyDescent="0.25">
      <c r="A34" s="395" t="s">
        <v>390</v>
      </c>
      <c r="B34" s="409"/>
      <c r="C34" s="417"/>
      <c r="D34" s="397"/>
      <c r="E34" s="411"/>
      <c r="F34" s="418"/>
      <c r="G34" s="403" t="s">
        <v>26</v>
      </c>
      <c r="H34" s="413">
        <v>0.1</v>
      </c>
      <c r="I34" s="414">
        <v>690</v>
      </c>
      <c r="J34" s="415"/>
      <c r="K34" s="402"/>
    </row>
    <row r="35" spans="1:11" x14ac:dyDescent="0.25">
      <c r="A35" s="395" t="s">
        <v>390</v>
      </c>
      <c r="B35" s="409"/>
      <c r="C35" s="417"/>
      <c r="D35" s="397"/>
      <c r="E35" s="411"/>
      <c r="F35" s="418"/>
      <c r="G35" s="403" t="s">
        <v>27</v>
      </c>
      <c r="H35" s="413">
        <v>0.2</v>
      </c>
      <c r="I35" s="416">
        <v>1380</v>
      </c>
      <c r="J35" s="415"/>
      <c r="K35" s="402"/>
    </row>
    <row r="36" spans="1:11" x14ac:dyDescent="0.25">
      <c r="A36" s="395" t="s">
        <v>390</v>
      </c>
      <c r="B36" s="409"/>
      <c r="C36" s="417"/>
      <c r="D36" s="397"/>
      <c r="E36" s="411"/>
      <c r="F36" s="418"/>
      <c r="G36" s="403" t="s">
        <v>57</v>
      </c>
      <c r="H36" s="413">
        <v>0.05</v>
      </c>
      <c r="I36" s="414">
        <v>345</v>
      </c>
      <c r="J36" s="415"/>
      <c r="K36" s="402"/>
    </row>
    <row r="37" spans="1:11" x14ac:dyDescent="0.25">
      <c r="A37" s="395" t="s">
        <v>390</v>
      </c>
      <c r="B37" s="409"/>
      <c r="C37" s="417"/>
      <c r="D37" s="397"/>
      <c r="E37" s="411"/>
      <c r="F37" s="418"/>
      <c r="G37" s="403" t="s">
        <v>364</v>
      </c>
      <c r="H37" s="413">
        <v>0.5</v>
      </c>
      <c r="I37" s="416">
        <v>3450</v>
      </c>
      <c r="J37" s="415"/>
      <c r="K37" s="402"/>
    </row>
    <row r="38" spans="1:11" ht="15.75" customHeight="1" x14ac:dyDescent="0.25">
      <c r="A38" s="395" t="s">
        <v>390</v>
      </c>
      <c r="B38" s="409" t="s">
        <v>82</v>
      </c>
      <c r="C38" s="410" t="s">
        <v>83</v>
      </c>
      <c r="D38" s="397" t="s">
        <v>84</v>
      </c>
      <c r="E38" s="411" t="s">
        <v>85</v>
      </c>
      <c r="F38" s="412">
        <v>0.02</v>
      </c>
      <c r="G38" s="403" t="s">
        <v>25</v>
      </c>
      <c r="H38" s="413">
        <v>0.15</v>
      </c>
      <c r="I38" s="414">
        <v>120</v>
      </c>
      <c r="J38" s="419">
        <v>800</v>
      </c>
      <c r="K38" s="402"/>
    </row>
    <row r="39" spans="1:11" x14ac:dyDescent="0.25">
      <c r="A39" s="395" t="s">
        <v>390</v>
      </c>
      <c r="B39" s="409"/>
      <c r="C39" s="410"/>
      <c r="D39" s="397"/>
      <c r="E39" s="411"/>
      <c r="F39" s="412"/>
      <c r="G39" s="403" t="s">
        <v>26</v>
      </c>
      <c r="H39" s="413">
        <v>0.1</v>
      </c>
      <c r="I39" s="414">
        <v>80</v>
      </c>
      <c r="J39" s="419"/>
      <c r="K39" s="402"/>
    </row>
    <row r="40" spans="1:11" x14ac:dyDescent="0.25">
      <c r="A40" s="395" t="s">
        <v>390</v>
      </c>
      <c r="B40" s="409"/>
      <c r="C40" s="410"/>
      <c r="D40" s="397"/>
      <c r="E40" s="411"/>
      <c r="F40" s="412"/>
      <c r="G40" s="403" t="s">
        <v>27</v>
      </c>
      <c r="H40" s="413">
        <v>0.2</v>
      </c>
      <c r="I40" s="414">
        <v>160</v>
      </c>
      <c r="J40" s="419"/>
      <c r="K40" s="402"/>
    </row>
    <row r="41" spans="1:11" x14ac:dyDescent="0.25">
      <c r="A41" s="395" t="s">
        <v>390</v>
      </c>
      <c r="B41" s="409"/>
      <c r="C41" s="410"/>
      <c r="D41" s="397"/>
      <c r="E41" s="411"/>
      <c r="F41" s="412"/>
      <c r="G41" s="403" t="s">
        <v>57</v>
      </c>
      <c r="H41" s="413">
        <v>0.05</v>
      </c>
      <c r="I41" s="414">
        <v>40</v>
      </c>
      <c r="J41" s="419"/>
      <c r="K41" s="402"/>
    </row>
    <row r="42" spans="1:11" x14ac:dyDescent="0.25">
      <c r="A42" s="395" t="s">
        <v>390</v>
      </c>
      <c r="B42" s="409"/>
      <c r="C42" s="410"/>
      <c r="D42" s="397"/>
      <c r="E42" s="411"/>
      <c r="F42" s="412"/>
      <c r="G42" s="403" t="s">
        <v>364</v>
      </c>
      <c r="H42" s="413">
        <v>0.5</v>
      </c>
      <c r="I42" s="414">
        <v>400</v>
      </c>
      <c r="J42" s="419"/>
      <c r="K42" s="402"/>
    </row>
    <row r="43" spans="1:11" ht="15.75" customHeight="1" x14ac:dyDescent="0.25">
      <c r="A43" s="395" t="s">
        <v>390</v>
      </c>
      <c r="B43" s="409" t="s">
        <v>86</v>
      </c>
      <c r="C43" s="410" t="s">
        <v>87</v>
      </c>
      <c r="D43" s="397" t="s">
        <v>84</v>
      </c>
      <c r="E43" s="411" t="s">
        <v>88</v>
      </c>
      <c r="F43" s="412">
        <v>1.2E-2</v>
      </c>
      <c r="G43" s="403" t="s">
        <v>25</v>
      </c>
      <c r="H43" s="413">
        <v>0.15</v>
      </c>
      <c r="I43" s="414">
        <v>75</v>
      </c>
      <c r="J43" s="419">
        <v>500</v>
      </c>
      <c r="K43" s="402"/>
    </row>
    <row r="44" spans="1:11" x14ac:dyDescent="0.25">
      <c r="A44" s="395" t="s">
        <v>390</v>
      </c>
      <c r="B44" s="409"/>
      <c r="C44" s="410"/>
      <c r="D44" s="397"/>
      <c r="E44" s="411"/>
      <c r="F44" s="412"/>
      <c r="G44" s="403" t="s">
        <v>26</v>
      </c>
      <c r="H44" s="413">
        <v>0.1</v>
      </c>
      <c r="I44" s="414">
        <v>50</v>
      </c>
      <c r="J44" s="419"/>
      <c r="K44" s="402"/>
    </row>
    <row r="45" spans="1:11" x14ac:dyDescent="0.25">
      <c r="A45" s="395" t="s">
        <v>390</v>
      </c>
      <c r="B45" s="409"/>
      <c r="C45" s="410"/>
      <c r="D45" s="397"/>
      <c r="E45" s="411"/>
      <c r="F45" s="412"/>
      <c r="G45" s="403" t="s">
        <v>27</v>
      </c>
      <c r="H45" s="413">
        <v>0.2</v>
      </c>
      <c r="I45" s="414">
        <v>100</v>
      </c>
      <c r="J45" s="419"/>
      <c r="K45" s="402"/>
    </row>
    <row r="46" spans="1:11" x14ac:dyDescent="0.25">
      <c r="A46" s="395" t="s">
        <v>390</v>
      </c>
      <c r="B46" s="409"/>
      <c r="C46" s="410"/>
      <c r="D46" s="397"/>
      <c r="E46" s="411"/>
      <c r="F46" s="412"/>
      <c r="G46" s="403" t="s">
        <v>57</v>
      </c>
      <c r="H46" s="413">
        <v>0.05</v>
      </c>
      <c r="I46" s="414">
        <v>25</v>
      </c>
      <c r="J46" s="419"/>
      <c r="K46" s="402"/>
    </row>
    <row r="47" spans="1:11" x14ac:dyDescent="0.25">
      <c r="A47" s="395" t="s">
        <v>390</v>
      </c>
      <c r="B47" s="409"/>
      <c r="C47" s="410"/>
      <c r="D47" s="397"/>
      <c r="E47" s="411"/>
      <c r="F47" s="412"/>
      <c r="G47" s="403" t="s">
        <v>364</v>
      </c>
      <c r="H47" s="413">
        <v>0.5</v>
      </c>
      <c r="I47" s="414">
        <v>250</v>
      </c>
      <c r="J47" s="419"/>
      <c r="K47" s="402"/>
    </row>
    <row r="48" spans="1:11" ht="15.75" customHeight="1" x14ac:dyDescent="0.25">
      <c r="A48" s="395" t="s">
        <v>390</v>
      </c>
      <c r="B48" s="409" t="s">
        <v>89</v>
      </c>
      <c r="C48" s="410" t="s">
        <v>90</v>
      </c>
      <c r="D48" s="397" t="s">
        <v>84</v>
      </c>
      <c r="E48" s="411" t="s">
        <v>91</v>
      </c>
      <c r="F48" s="412">
        <v>1.7000000000000001E-2</v>
      </c>
      <c r="G48" s="403" t="s">
        <v>25</v>
      </c>
      <c r="H48" s="413">
        <v>0.15</v>
      </c>
      <c r="I48" s="414">
        <v>105</v>
      </c>
      <c r="J48" s="419">
        <v>700</v>
      </c>
      <c r="K48" s="402"/>
    </row>
    <row r="49" spans="1:11" x14ac:dyDescent="0.25">
      <c r="A49" s="395" t="s">
        <v>390</v>
      </c>
      <c r="B49" s="409"/>
      <c r="C49" s="410"/>
      <c r="D49" s="397"/>
      <c r="E49" s="411"/>
      <c r="F49" s="412"/>
      <c r="G49" s="403" t="s">
        <v>26</v>
      </c>
      <c r="H49" s="413">
        <v>0.1</v>
      </c>
      <c r="I49" s="414">
        <v>70</v>
      </c>
      <c r="J49" s="419"/>
      <c r="K49" s="402"/>
    </row>
    <row r="50" spans="1:11" x14ac:dyDescent="0.25">
      <c r="A50" s="395" t="s">
        <v>390</v>
      </c>
      <c r="B50" s="409"/>
      <c r="C50" s="410"/>
      <c r="D50" s="397"/>
      <c r="E50" s="411"/>
      <c r="F50" s="412"/>
      <c r="G50" s="403" t="s">
        <v>27</v>
      </c>
      <c r="H50" s="413">
        <v>0.2</v>
      </c>
      <c r="I50" s="414">
        <v>140</v>
      </c>
      <c r="J50" s="419"/>
      <c r="K50" s="402"/>
    </row>
    <row r="51" spans="1:11" x14ac:dyDescent="0.25">
      <c r="A51" s="395" t="s">
        <v>390</v>
      </c>
      <c r="B51" s="409"/>
      <c r="C51" s="410"/>
      <c r="D51" s="397"/>
      <c r="E51" s="411"/>
      <c r="F51" s="412"/>
      <c r="G51" s="403" t="s">
        <v>57</v>
      </c>
      <c r="H51" s="413">
        <v>0.05</v>
      </c>
      <c r="I51" s="414">
        <v>35</v>
      </c>
      <c r="J51" s="419"/>
      <c r="K51" s="402"/>
    </row>
    <row r="52" spans="1:11" x14ac:dyDescent="0.25">
      <c r="A52" s="395" t="s">
        <v>390</v>
      </c>
      <c r="B52" s="409"/>
      <c r="C52" s="410"/>
      <c r="D52" s="397"/>
      <c r="E52" s="411"/>
      <c r="F52" s="412"/>
      <c r="G52" s="403" t="s">
        <v>364</v>
      </c>
      <c r="H52" s="413">
        <v>0.5</v>
      </c>
      <c r="I52" s="414">
        <v>350</v>
      </c>
      <c r="J52" s="419"/>
      <c r="K52" s="402"/>
    </row>
    <row r="53" spans="1:11" ht="15.75" customHeight="1" x14ac:dyDescent="0.25">
      <c r="A53" s="395" t="s">
        <v>390</v>
      </c>
      <c r="B53" s="409" t="s">
        <v>92</v>
      </c>
      <c r="C53" s="410" t="s">
        <v>93</v>
      </c>
      <c r="D53" s="397" t="s">
        <v>84</v>
      </c>
      <c r="E53" s="411" t="s">
        <v>94</v>
      </c>
      <c r="F53" s="412">
        <v>1.7000000000000001E-2</v>
      </c>
      <c r="G53" s="403" t="s">
        <v>25</v>
      </c>
      <c r="H53" s="413">
        <v>0.15</v>
      </c>
      <c r="I53" s="414">
        <v>105</v>
      </c>
      <c r="J53" s="419">
        <v>700</v>
      </c>
      <c r="K53" s="402"/>
    </row>
    <row r="54" spans="1:11" x14ac:dyDescent="0.25">
      <c r="A54" s="395" t="s">
        <v>390</v>
      </c>
      <c r="B54" s="409"/>
      <c r="C54" s="410"/>
      <c r="D54" s="397"/>
      <c r="E54" s="411"/>
      <c r="F54" s="412"/>
      <c r="G54" s="403" t="s">
        <v>26</v>
      </c>
      <c r="H54" s="413">
        <v>0.1</v>
      </c>
      <c r="I54" s="414">
        <v>70</v>
      </c>
      <c r="J54" s="419"/>
      <c r="K54" s="402"/>
    </row>
    <row r="55" spans="1:11" x14ac:dyDescent="0.25">
      <c r="A55" s="395" t="s">
        <v>390</v>
      </c>
      <c r="B55" s="409"/>
      <c r="C55" s="410"/>
      <c r="D55" s="397"/>
      <c r="E55" s="411"/>
      <c r="F55" s="412"/>
      <c r="G55" s="403" t="s">
        <v>27</v>
      </c>
      <c r="H55" s="413">
        <v>0.2</v>
      </c>
      <c r="I55" s="414">
        <v>140</v>
      </c>
      <c r="J55" s="419"/>
      <c r="K55" s="402"/>
    </row>
    <row r="56" spans="1:11" x14ac:dyDescent="0.25">
      <c r="A56" s="395" t="s">
        <v>390</v>
      </c>
      <c r="B56" s="409"/>
      <c r="C56" s="410"/>
      <c r="D56" s="397"/>
      <c r="E56" s="411"/>
      <c r="F56" s="412"/>
      <c r="G56" s="403" t="s">
        <v>57</v>
      </c>
      <c r="H56" s="413">
        <v>0.05</v>
      </c>
      <c r="I56" s="414">
        <v>35</v>
      </c>
      <c r="J56" s="419"/>
      <c r="K56" s="402"/>
    </row>
    <row r="57" spans="1:11" x14ac:dyDescent="0.25">
      <c r="A57" s="395" t="s">
        <v>390</v>
      </c>
      <c r="B57" s="409"/>
      <c r="C57" s="410"/>
      <c r="D57" s="397"/>
      <c r="E57" s="411"/>
      <c r="F57" s="412"/>
      <c r="G57" s="403" t="s">
        <v>364</v>
      </c>
      <c r="H57" s="413">
        <v>0.5</v>
      </c>
      <c r="I57" s="414">
        <v>350</v>
      </c>
      <c r="J57" s="419"/>
      <c r="K57" s="402"/>
    </row>
    <row r="58" spans="1:11" ht="15.75" customHeight="1" x14ac:dyDescent="0.25">
      <c r="A58" s="395" t="s">
        <v>390</v>
      </c>
      <c r="B58" s="409" t="s">
        <v>95</v>
      </c>
      <c r="C58" s="410" t="s">
        <v>96</v>
      </c>
      <c r="D58" s="397" t="s">
        <v>84</v>
      </c>
      <c r="E58" s="411" t="s">
        <v>97</v>
      </c>
      <c r="F58" s="412">
        <v>2.7E-2</v>
      </c>
      <c r="G58" s="403" t="s">
        <v>25</v>
      </c>
      <c r="H58" s="413">
        <v>0.15</v>
      </c>
      <c r="I58" s="414">
        <v>165</v>
      </c>
      <c r="J58" s="415">
        <v>1100</v>
      </c>
      <c r="K58" s="402"/>
    </row>
    <row r="59" spans="1:11" x14ac:dyDescent="0.25">
      <c r="A59" s="395" t="s">
        <v>390</v>
      </c>
      <c r="B59" s="409"/>
      <c r="C59" s="410"/>
      <c r="D59" s="397"/>
      <c r="E59" s="411"/>
      <c r="F59" s="412"/>
      <c r="G59" s="403" t="s">
        <v>26</v>
      </c>
      <c r="H59" s="413">
        <v>0.1</v>
      </c>
      <c r="I59" s="414">
        <v>110</v>
      </c>
      <c r="J59" s="415"/>
      <c r="K59" s="402"/>
    </row>
    <row r="60" spans="1:11" x14ac:dyDescent="0.25">
      <c r="A60" s="395" t="s">
        <v>390</v>
      </c>
      <c r="B60" s="409"/>
      <c r="C60" s="410"/>
      <c r="D60" s="397"/>
      <c r="E60" s="411"/>
      <c r="F60" s="412"/>
      <c r="G60" s="403" t="s">
        <v>27</v>
      </c>
      <c r="H60" s="413">
        <v>0.2</v>
      </c>
      <c r="I60" s="414">
        <v>220</v>
      </c>
      <c r="J60" s="415"/>
      <c r="K60" s="402"/>
    </row>
    <row r="61" spans="1:11" x14ac:dyDescent="0.25">
      <c r="A61" s="395" t="s">
        <v>390</v>
      </c>
      <c r="B61" s="409"/>
      <c r="C61" s="410"/>
      <c r="D61" s="397"/>
      <c r="E61" s="411"/>
      <c r="F61" s="412"/>
      <c r="G61" s="403" t="s">
        <v>57</v>
      </c>
      <c r="H61" s="413">
        <v>0.05</v>
      </c>
      <c r="I61" s="414">
        <v>55</v>
      </c>
      <c r="J61" s="415"/>
      <c r="K61" s="402"/>
    </row>
    <row r="62" spans="1:11" x14ac:dyDescent="0.25">
      <c r="A62" s="395" t="s">
        <v>390</v>
      </c>
      <c r="B62" s="409"/>
      <c r="C62" s="410"/>
      <c r="D62" s="397"/>
      <c r="E62" s="411"/>
      <c r="F62" s="412"/>
      <c r="G62" s="403" t="s">
        <v>364</v>
      </c>
      <c r="H62" s="413">
        <v>0.5</v>
      </c>
      <c r="I62" s="414">
        <v>550</v>
      </c>
      <c r="J62" s="415"/>
      <c r="K62" s="402"/>
    </row>
    <row r="63" spans="1:11" x14ac:dyDescent="0.25">
      <c r="A63" s="395" t="s">
        <v>390</v>
      </c>
      <c r="B63" s="403"/>
      <c r="C63" s="403" t="s">
        <v>98</v>
      </c>
      <c r="D63" s="404"/>
      <c r="E63" s="407"/>
      <c r="F63" s="403"/>
      <c r="G63" s="407"/>
      <c r="H63" s="403"/>
      <c r="I63" s="403"/>
      <c r="J63" s="403"/>
      <c r="K63" s="402"/>
    </row>
    <row r="64" spans="1:11" x14ac:dyDescent="0.25">
      <c r="A64" s="395" t="s">
        <v>390</v>
      </c>
      <c r="B64" s="409" t="s">
        <v>99</v>
      </c>
      <c r="C64" s="417" t="s">
        <v>100</v>
      </c>
      <c r="D64" s="397" t="s">
        <v>215</v>
      </c>
      <c r="E64" s="411" t="s">
        <v>101</v>
      </c>
      <c r="F64" s="412">
        <v>4.7E-2</v>
      </c>
      <c r="G64" s="403" t="s">
        <v>25</v>
      </c>
      <c r="H64" s="413">
        <v>0.15</v>
      </c>
      <c r="I64" s="414">
        <v>285</v>
      </c>
      <c r="J64" s="415">
        <v>1900</v>
      </c>
      <c r="K64" s="402"/>
    </row>
    <row r="65" spans="1:11" x14ac:dyDescent="0.25">
      <c r="A65" s="395" t="s">
        <v>390</v>
      </c>
      <c r="B65" s="409"/>
      <c r="C65" s="417"/>
      <c r="D65" s="397"/>
      <c r="E65" s="411"/>
      <c r="F65" s="412"/>
      <c r="G65" s="403" t="s">
        <v>26</v>
      </c>
      <c r="H65" s="413">
        <v>0.1</v>
      </c>
      <c r="I65" s="414">
        <v>190</v>
      </c>
      <c r="J65" s="415"/>
      <c r="K65" s="402"/>
    </row>
    <row r="66" spans="1:11" x14ac:dyDescent="0.25">
      <c r="A66" s="395" t="s">
        <v>390</v>
      </c>
      <c r="B66" s="409"/>
      <c r="C66" s="417"/>
      <c r="D66" s="397"/>
      <c r="E66" s="411"/>
      <c r="F66" s="412"/>
      <c r="G66" s="403" t="s">
        <v>27</v>
      </c>
      <c r="H66" s="413">
        <v>0.2</v>
      </c>
      <c r="I66" s="414">
        <v>380</v>
      </c>
      <c r="J66" s="415"/>
      <c r="K66" s="402"/>
    </row>
    <row r="67" spans="1:11" x14ac:dyDescent="0.25">
      <c r="A67" s="395" t="s">
        <v>390</v>
      </c>
      <c r="B67" s="409"/>
      <c r="C67" s="417"/>
      <c r="D67" s="397"/>
      <c r="E67" s="411"/>
      <c r="F67" s="412"/>
      <c r="G67" s="403" t="s">
        <v>57</v>
      </c>
      <c r="H67" s="413">
        <v>0.05</v>
      </c>
      <c r="I67" s="414">
        <v>95</v>
      </c>
      <c r="J67" s="415"/>
      <c r="K67" s="402"/>
    </row>
    <row r="68" spans="1:11" x14ac:dyDescent="0.25">
      <c r="A68" s="395" t="s">
        <v>390</v>
      </c>
      <c r="B68" s="409"/>
      <c r="C68" s="417"/>
      <c r="D68" s="397"/>
      <c r="E68" s="411"/>
      <c r="F68" s="412"/>
      <c r="G68" s="403" t="s">
        <v>364</v>
      </c>
      <c r="H68" s="413">
        <v>0.5</v>
      </c>
      <c r="I68" s="414">
        <v>950</v>
      </c>
      <c r="J68" s="415"/>
      <c r="K68" s="402"/>
    </row>
    <row r="69" spans="1:11" ht="15.75" customHeight="1" x14ac:dyDescent="0.25">
      <c r="A69" s="395" t="s">
        <v>390</v>
      </c>
      <c r="B69" s="409" t="s">
        <v>102</v>
      </c>
      <c r="C69" s="410" t="s">
        <v>103</v>
      </c>
      <c r="D69" s="397" t="s">
        <v>215</v>
      </c>
      <c r="E69" s="411" t="s">
        <v>104</v>
      </c>
      <c r="F69" s="412">
        <v>3.9E-2</v>
      </c>
      <c r="G69" s="403" t="s">
        <v>25</v>
      </c>
      <c r="H69" s="413">
        <v>0.15</v>
      </c>
      <c r="I69" s="414">
        <v>240</v>
      </c>
      <c r="J69" s="415">
        <v>1600</v>
      </c>
      <c r="K69" s="402"/>
    </row>
    <row r="70" spans="1:11" x14ac:dyDescent="0.25">
      <c r="A70" s="395" t="s">
        <v>390</v>
      </c>
      <c r="B70" s="409"/>
      <c r="C70" s="410"/>
      <c r="D70" s="397"/>
      <c r="E70" s="411"/>
      <c r="F70" s="412"/>
      <c r="G70" s="403" t="s">
        <v>26</v>
      </c>
      <c r="H70" s="413">
        <v>0.1</v>
      </c>
      <c r="I70" s="414">
        <v>160</v>
      </c>
      <c r="J70" s="415"/>
      <c r="K70" s="402"/>
    </row>
    <row r="71" spans="1:11" x14ac:dyDescent="0.25">
      <c r="A71" s="395" t="s">
        <v>390</v>
      </c>
      <c r="B71" s="409"/>
      <c r="C71" s="410"/>
      <c r="D71" s="397"/>
      <c r="E71" s="411"/>
      <c r="F71" s="412"/>
      <c r="G71" s="403" t="s">
        <v>27</v>
      </c>
      <c r="H71" s="413">
        <v>0.2</v>
      </c>
      <c r="I71" s="414">
        <v>320</v>
      </c>
      <c r="J71" s="415"/>
      <c r="K71" s="402"/>
    </row>
    <row r="72" spans="1:11" x14ac:dyDescent="0.25">
      <c r="A72" s="395" t="s">
        <v>390</v>
      </c>
      <c r="B72" s="409"/>
      <c r="C72" s="410"/>
      <c r="D72" s="397"/>
      <c r="E72" s="411"/>
      <c r="F72" s="412"/>
      <c r="G72" s="403" t="s">
        <v>57</v>
      </c>
      <c r="H72" s="413">
        <v>0.05</v>
      </c>
      <c r="I72" s="414">
        <v>80</v>
      </c>
      <c r="J72" s="415"/>
      <c r="K72" s="402"/>
    </row>
    <row r="73" spans="1:11" x14ac:dyDescent="0.25">
      <c r="A73" s="395" t="s">
        <v>390</v>
      </c>
      <c r="B73" s="409"/>
      <c r="C73" s="410"/>
      <c r="D73" s="397"/>
      <c r="E73" s="411"/>
      <c r="F73" s="412"/>
      <c r="G73" s="403" t="s">
        <v>364</v>
      </c>
      <c r="H73" s="413">
        <v>0.5</v>
      </c>
      <c r="I73" s="414">
        <v>800</v>
      </c>
      <c r="J73" s="415"/>
      <c r="K73" s="402"/>
    </row>
    <row r="74" spans="1:11" x14ac:dyDescent="0.25">
      <c r="A74" s="395" t="s">
        <v>390</v>
      </c>
      <c r="B74" s="403"/>
      <c r="C74" s="403" t="s">
        <v>105</v>
      </c>
      <c r="D74" s="404"/>
      <c r="E74" s="407"/>
      <c r="F74" s="403"/>
      <c r="G74" s="407"/>
      <c r="H74" s="403"/>
      <c r="I74" s="403"/>
      <c r="J74" s="403"/>
      <c r="K74" s="402"/>
    </row>
    <row r="75" spans="1:11" ht="15.75" customHeight="1" x14ac:dyDescent="0.25">
      <c r="A75" s="395" t="s">
        <v>390</v>
      </c>
      <c r="B75" s="409" t="s">
        <v>106</v>
      </c>
      <c r="C75" s="417" t="s">
        <v>403</v>
      </c>
      <c r="D75" s="397" t="s">
        <v>215</v>
      </c>
      <c r="E75" s="411" t="s">
        <v>107</v>
      </c>
      <c r="F75" s="412">
        <v>0.11799999999999999</v>
      </c>
      <c r="G75" s="403" t="s">
        <v>25</v>
      </c>
      <c r="H75" s="413">
        <v>0.15</v>
      </c>
      <c r="I75" s="414">
        <v>720</v>
      </c>
      <c r="J75" s="415">
        <v>4800</v>
      </c>
      <c r="K75" s="402"/>
    </row>
    <row r="76" spans="1:11" x14ac:dyDescent="0.25">
      <c r="A76" s="395" t="s">
        <v>390</v>
      </c>
      <c r="B76" s="409"/>
      <c r="C76" s="417"/>
      <c r="D76" s="397"/>
      <c r="E76" s="411"/>
      <c r="F76" s="412"/>
      <c r="G76" s="403" t="s">
        <v>26</v>
      </c>
      <c r="H76" s="413">
        <v>0.1</v>
      </c>
      <c r="I76" s="414">
        <v>480</v>
      </c>
      <c r="J76" s="415"/>
      <c r="K76" s="402"/>
    </row>
    <row r="77" spans="1:11" x14ac:dyDescent="0.25">
      <c r="A77" s="395" t="s">
        <v>390</v>
      </c>
      <c r="B77" s="409"/>
      <c r="C77" s="417"/>
      <c r="D77" s="397"/>
      <c r="E77" s="411"/>
      <c r="F77" s="412"/>
      <c r="G77" s="403" t="s">
        <v>27</v>
      </c>
      <c r="H77" s="413">
        <v>0.2</v>
      </c>
      <c r="I77" s="414">
        <v>960</v>
      </c>
      <c r="J77" s="415"/>
      <c r="K77" s="402"/>
    </row>
    <row r="78" spans="1:11" x14ac:dyDescent="0.25">
      <c r="A78" s="395" t="s">
        <v>390</v>
      </c>
      <c r="B78" s="409"/>
      <c r="C78" s="417"/>
      <c r="D78" s="397"/>
      <c r="E78" s="411"/>
      <c r="F78" s="412"/>
      <c r="G78" s="403" t="s">
        <v>57</v>
      </c>
      <c r="H78" s="413">
        <v>0.05</v>
      </c>
      <c r="I78" s="414">
        <v>240</v>
      </c>
      <c r="J78" s="415"/>
      <c r="K78" s="402"/>
    </row>
    <row r="79" spans="1:11" x14ac:dyDescent="0.25">
      <c r="A79" s="395" t="s">
        <v>390</v>
      </c>
      <c r="B79" s="409"/>
      <c r="C79" s="417"/>
      <c r="D79" s="397"/>
      <c r="E79" s="411"/>
      <c r="F79" s="412"/>
      <c r="G79" s="403" t="s">
        <v>364</v>
      </c>
      <c r="H79" s="413">
        <v>0.5</v>
      </c>
      <c r="I79" s="416">
        <v>2400</v>
      </c>
      <c r="J79" s="415"/>
      <c r="K79" s="402"/>
    </row>
    <row r="80" spans="1:11" ht="15.75" customHeight="1" x14ac:dyDescent="0.25">
      <c r="A80" s="395" t="s">
        <v>390</v>
      </c>
      <c r="B80" s="409" t="s">
        <v>108</v>
      </c>
      <c r="C80" s="417" t="s">
        <v>109</v>
      </c>
      <c r="D80" s="397" t="s">
        <v>215</v>
      </c>
      <c r="E80" s="411" t="s">
        <v>110</v>
      </c>
      <c r="F80" s="412">
        <v>8.7999999999999995E-2</v>
      </c>
      <c r="G80" s="403" t="s">
        <v>25</v>
      </c>
      <c r="H80" s="413">
        <v>0.15</v>
      </c>
      <c r="I80" s="414">
        <v>540</v>
      </c>
      <c r="J80" s="415">
        <v>3600</v>
      </c>
      <c r="K80" s="402"/>
    </row>
    <row r="81" spans="1:11" x14ac:dyDescent="0.25">
      <c r="A81" s="395" t="s">
        <v>390</v>
      </c>
      <c r="B81" s="409"/>
      <c r="C81" s="417"/>
      <c r="D81" s="397"/>
      <c r="E81" s="411"/>
      <c r="F81" s="412"/>
      <c r="G81" s="403" t="s">
        <v>26</v>
      </c>
      <c r="H81" s="413">
        <v>0.1</v>
      </c>
      <c r="I81" s="414">
        <v>360</v>
      </c>
      <c r="J81" s="415"/>
      <c r="K81" s="402"/>
    </row>
    <row r="82" spans="1:11" x14ac:dyDescent="0.25">
      <c r="A82" s="395" t="s">
        <v>390</v>
      </c>
      <c r="B82" s="409"/>
      <c r="C82" s="417"/>
      <c r="D82" s="397"/>
      <c r="E82" s="411"/>
      <c r="F82" s="412"/>
      <c r="G82" s="403" t="s">
        <v>27</v>
      </c>
      <c r="H82" s="413">
        <v>0.2</v>
      </c>
      <c r="I82" s="414">
        <v>720</v>
      </c>
      <c r="J82" s="415"/>
      <c r="K82" s="402"/>
    </row>
    <row r="83" spans="1:11" x14ac:dyDescent="0.25">
      <c r="A83" s="395" t="s">
        <v>390</v>
      </c>
      <c r="B83" s="409"/>
      <c r="C83" s="417"/>
      <c r="D83" s="397"/>
      <c r="E83" s="411"/>
      <c r="F83" s="412"/>
      <c r="G83" s="403" t="s">
        <v>57</v>
      </c>
      <c r="H83" s="413">
        <v>0.05</v>
      </c>
      <c r="I83" s="414">
        <v>180</v>
      </c>
      <c r="J83" s="415"/>
      <c r="K83" s="402"/>
    </row>
    <row r="84" spans="1:11" x14ac:dyDescent="0.25">
      <c r="A84" s="395" t="s">
        <v>390</v>
      </c>
      <c r="B84" s="409"/>
      <c r="C84" s="417"/>
      <c r="D84" s="397"/>
      <c r="E84" s="411"/>
      <c r="F84" s="412"/>
      <c r="G84" s="403" t="s">
        <v>364</v>
      </c>
      <c r="H84" s="413">
        <v>0.5</v>
      </c>
      <c r="I84" s="416">
        <v>1800</v>
      </c>
      <c r="J84" s="415"/>
      <c r="K84" s="402"/>
    </row>
    <row r="85" spans="1:11" ht="15.75" customHeight="1" x14ac:dyDescent="0.25">
      <c r="A85" s="395" t="s">
        <v>390</v>
      </c>
      <c r="B85" s="409" t="s">
        <v>111</v>
      </c>
      <c r="C85" s="410" t="s">
        <v>112</v>
      </c>
      <c r="D85" s="397" t="s">
        <v>84</v>
      </c>
      <c r="E85" s="411" t="s">
        <v>113</v>
      </c>
      <c r="F85" s="412">
        <v>1.7000000000000001E-2</v>
      </c>
      <c r="G85" s="403" t="s">
        <v>25</v>
      </c>
      <c r="H85" s="413">
        <v>0.15</v>
      </c>
      <c r="I85" s="414">
        <v>105</v>
      </c>
      <c r="J85" s="419">
        <v>700</v>
      </c>
      <c r="K85" s="402"/>
    </row>
    <row r="86" spans="1:11" x14ac:dyDescent="0.25">
      <c r="A86" s="395" t="s">
        <v>390</v>
      </c>
      <c r="B86" s="409"/>
      <c r="C86" s="410"/>
      <c r="D86" s="397"/>
      <c r="E86" s="411"/>
      <c r="F86" s="412"/>
      <c r="G86" s="403" t="s">
        <v>26</v>
      </c>
      <c r="H86" s="413">
        <v>0.1</v>
      </c>
      <c r="I86" s="414">
        <v>70</v>
      </c>
      <c r="J86" s="419"/>
      <c r="K86" s="402"/>
    </row>
    <row r="87" spans="1:11" x14ac:dyDescent="0.25">
      <c r="A87" s="395" t="s">
        <v>390</v>
      </c>
      <c r="B87" s="409"/>
      <c r="C87" s="410"/>
      <c r="D87" s="397"/>
      <c r="E87" s="411"/>
      <c r="F87" s="412"/>
      <c r="G87" s="403" t="s">
        <v>27</v>
      </c>
      <c r="H87" s="413">
        <v>0.2</v>
      </c>
      <c r="I87" s="414">
        <v>140</v>
      </c>
      <c r="J87" s="419"/>
      <c r="K87" s="402"/>
    </row>
    <row r="88" spans="1:11" x14ac:dyDescent="0.25">
      <c r="A88" s="395" t="s">
        <v>390</v>
      </c>
      <c r="B88" s="409"/>
      <c r="C88" s="410"/>
      <c r="D88" s="397"/>
      <c r="E88" s="411"/>
      <c r="F88" s="412"/>
      <c r="G88" s="403" t="s">
        <v>57</v>
      </c>
      <c r="H88" s="413">
        <v>0.05</v>
      </c>
      <c r="I88" s="414">
        <v>35</v>
      </c>
      <c r="J88" s="419"/>
      <c r="K88" s="402"/>
    </row>
    <row r="89" spans="1:11" x14ac:dyDescent="0.25">
      <c r="A89" s="395" t="s">
        <v>390</v>
      </c>
      <c r="B89" s="409"/>
      <c r="C89" s="410"/>
      <c r="D89" s="397"/>
      <c r="E89" s="411"/>
      <c r="F89" s="412"/>
      <c r="G89" s="403" t="s">
        <v>364</v>
      </c>
      <c r="H89" s="413">
        <v>0.5</v>
      </c>
      <c r="I89" s="414">
        <v>350</v>
      </c>
      <c r="J89" s="419"/>
      <c r="K89" s="402"/>
    </row>
    <row r="90" spans="1:11" ht="15.75" customHeight="1" x14ac:dyDescent="0.25">
      <c r="A90" s="395" t="s">
        <v>390</v>
      </c>
      <c r="B90" s="409" t="s">
        <v>114</v>
      </c>
      <c r="C90" s="410" t="s">
        <v>115</v>
      </c>
      <c r="D90" s="397" t="s">
        <v>84</v>
      </c>
      <c r="E90" s="411" t="s">
        <v>116</v>
      </c>
      <c r="F90" s="412">
        <v>1.2E-2</v>
      </c>
      <c r="G90" s="403" t="s">
        <v>25</v>
      </c>
      <c r="H90" s="413">
        <v>0.15</v>
      </c>
      <c r="I90" s="414">
        <v>75</v>
      </c>
      <c r="J90" s="419">
        <v>500</v>
      </c>
      <c r="K90" s="402"/>
    </row>
    <row r="91" spans="1:11" x14ac:dyDescent="0.25">
      <c r="A91" s="395" t="s">
        <v>390</v>
      </c>
      <c r="B91" s="409"/>
      <c r="C91" s="410"/>
      <c r="D91" s="397"/>
      <c r="E91" s="411"/>
      <c r="F91" s="412"/>
      <c r="G91" s="403" t="s">
        <v>26</v>
      </c>
      <c r="H91" s="413">
        <v>0.1</v>
      </c>
      <c r="I91" s="414">
        <v>50</v>
      </c>
      <c r="J91" s="419"/>
      <c r="K91" s="402"/>
    </row>
    <row r="92" spans="1:11" x14ac:dyDescent="0.25">
      <c r="A92" s="395" t="s">
        <v>390</v>
      </c>
      <c r="B92" s="409"/>
      <c r="C92" s="410"/>
      <c r="D92" s="397"/>
      <c r="E92" s="411"/>
      <c r="F92" s="412"/>
      <c r="G92" s="403" t="s">
        <v>27</v>
      </c>
      <c r="H92" s="413">
        <v>0.2</v>
      </c>
      <c r="I92" s="414">
        <v>100</v>
      </c>
      <c r="J92" s="419"/>
      <c r="K92" s="402"/>
    </row>
    <row r="93" spans="1:11" x14ac:dyDescent="0.25">
      <c r="A93" s="395" t="s">
        <v>390</v>
      </c>
      <c r="B93" s="409"/>
      <c r="C93" s="410"/>
      <c r="D93" s="397"/>
      <c r="E93" s="411"/>
      <c r="F93" s="412"/>
      <c r="G93" s="403" t="s">
        <v>57</v>
      </c>
      <c r="H93" s="413">
        <v>0.05</v>
      </c>
      <c r="I93" s="414">
        <v>25</v>
      </c>
      <c r="J93" s="419"/>
      <c r="K93" s="402"/>
    </row>
    <row r="94" spans="1:11" x14ac:dyDescent="0.25">
      <c r="A94" s="395" t="s">
        <v>390</v>
      </c>
      <c r="B94" s="409"/>
      <c r="C94" s="410"/>
      <c r="D94" s="397"/>
      <c r="E94" s="411"/>
      <c r="F94" s="412"/>
      <c r="G94" s="403" t="s">
        <v>364</v>
      </c>
      <c r="H94" s="413">
        <v>0.5</v>
      </c>
      <c r="I94" s="414">
        <v>250</v>
      </c>
      <c r="J94" s="419"/>
      <c r="K94" s="402"/>
    </row>
    <row r="95" spans="1:11" ht="15.75" customHeight="1" x14ac:dyDescent="0.25">
      <c r="A95" s="395" t="s">
        <v>390</v>
      </c>
      <c r="B95" s="409" t="s">
        <v>117</v>
      </c>
      <c r="C95" s="410" t="s">
        <v>118</v>
      </c>
      <c r="D95" s="397" t="s">
        <v>84</v>
      </c>
      <c r="E95" s="411" t="s">
        <v>119</v>
      </c>
      <c r="F95" s="412">
        <v>1.4999999999999999E-2</v>
      </c>
      <c r="G95" s="403" t="s">
        <v>25</v>
      </c>
      <c r="H95" s="413">
        <v>0.15</v>
      </c>
      <c r="I95" s="414">
        <v>90</v>
      </c>
      <c r="J95" s="419">
        <v>600</v>
      </c>
      <c r="K95" s="402"/>
    </row>
    <row r="96" spans="1:11" x14ac:dyDescent="0.25">
      <c r="A96" s="395" t="s">
        <v>390</v>
      </c>
      <c r="B96" s="409"/>
      <c r="C96" s="410"/>
      <c r="D96" s="397"/>
      <c r="E96" s="411"/>
      <c r="F96" s="412"/>
      <c r="G96" s="403" t="s">
        <v>26</v>
      </c>
      <c r="H96" s="413">
        <v>0.1</v>
      </c>
      <c r="I96" s="414">
        <v>60</v>
      </c>
      <c r="J96" s="419"/>
      <c r="K96" s="402"/>
    </row>
    <row r="97" spans="1:12" x14ac:dyDescent="0.25">
      <c r="A97" s="395" t="s">
        <v>390</v>
      </c>
      <c r="B97" s="409"/>
      <c r="C97" s="410"/>
      <c r="D97" s="397"/>
      <c r="E97" s="411"/>
      <c r="F97" s="412"/>
      <c r="G97" s="403" t="s">
        <v>27</v>
      </c>
      <c r="H97" s="413">
        <v>0.2</v>
      </c>
      <c r="I97" s="414">
        <v>120</v>
      </c>
      <c r="J97" s="419"/>
      <c r="K97" s="402"/>
    </row>
    <row r="98" spans="1:12" x14ac:dyDescent="0.25">
      <c r="A98" s="395" t="s">
        <v>390</v>
      </c>
      <c r="B98" s="409"/>
      <c r="C98" s="410"/>
      <c r="D98" s="397"/>
      <c r="E98" s="411"/>
      <c r="F98" s="412"/>
      <c r="G98" s="403" t="s">
        <v>57</v>
      </c>
      <c r="H98" s="413">
        <v>0.05</v>
      </c>
      <c r="I98" s="414">
        <v>30</v>
      </c>
      <c r="J98" s="419"/>
      <c r="K98" s="402"/>
    </row>
    <row r="99" spans="1:12" x14ac:dyDescent="0.25">
      <c r="A99" s="395" t="s">
        <v>390</v>
      </c>
      <c r="B99" s="409"/>
      <c r="C99" s="410"/>
      <c r="D99" s="397"/>
      <c r="E99" s="411"/>
      <c r="F99" s="412"/>
      <c r="G99" s="403" t="s">
        <v>364</v>
      </c>
      <c r="H99" s="413">
        <v>0.5</v>
      </c>
      <c r="I99" s="414">
        <v>300</v>
      </c>
      <c r="J99" s="419"/>
      <c r="K99" s="402"/>
      <c r="L99" s="420">
        <f>+SUM(F8:F99)</f>
        <v>1</v>
      </c>
    </row>
    <row r="100" spans="1:12" ht="15" customHeight="1" x14ac:dyDescent="0.25">
      <c r="A100" s="395" t="s">
        <v>390</v>
      </c>
      <c r="B100" s="397" t="s">
        <v>59</v>
      </c>
      <c r="C100" s="397" t="s">
        <v>404</v>
      </c>
      <c r="D100" s="397" t="s">
        <v>60</v>
      </c>
      <c r="E100" s="397" t="s">
        <v>393</v>
      </c>
      <c r="F100" s="398" t="s">
        <v>394</v>
      </c>
      <c r="G100" s="399" t="s">
        <v>360</v>
      </c>
      <c r="H100" s="399" t="s">
        <v>361</v>
      </c>
      <c r="I100" s="398" t="s">
        <v>17</v>
      </c>
      <c r="J100" s="398" t="s">
        <v>17</v>
      </c>
      <c r="K100" s="400"/>
    </row>
    <row r="101" spans="1:12" x14ac:dyDescent="0.25">
      <c r="A101" s="395" t="s">
        <v>390</v>
      </c>
      <c r="B101" s="397"/>
      <c r="C101" s="397"/>
      <c r="D101" s="397"/>
      <c r="E101" s="397"/>
      <c r="F101" s="398" t="s">
        <v>395</v>
      </c>
      <c r="G101" s="399"/>
      <c r="H101" s="399"/>
      <c r="I101" s="398" t="s">
        <v>396</v>
      </c>
      <c r="J101" s="398" t="s">
        <v>397</v>
      </c>
      <c r="K101" s="400"/>
    </row>
    <row r="102" spans="1:12" x14ac:dyDescent="0.25">
      <c r="A102" s="395" t="s">
        <v>390</v>
      </c>
      <c r="B102" s="397"/>
      <c r="C102" s="397"/>
      <c r="D102" s="397"/>
      <c r="E102" s="397"/>
      <c r="F102" s="401"/>
      <c r="G102" s="399"/>
      <c r="H102" s="399"/>
      <c r="I102" s="401"/>
      <c r="J102" s="398" t="s">
        <v>398</v>
      </c>
      <c r="K102" s="402"/>
    </row>
    <row r="103" spans="1:12" x14ac:dyDescent="0.25">
      <c r="A103" s="395" t="s">
        <v>390</v>
      </c>
      <c r="B103" s="403" t="s">
        <v>127</v>
      </c>
      <c r="C103" s="403" t="s">
        <v>362</v>
      </c>
      <c r="D103" s="404"/>
      <c r="E103" s="403"/>
      <c r="F103" s="413">
        <v>1</v>
      </c>
      <c r="G103" s="403"/>
      <c r="H103" s="403"/>
      <c r="I103" s="406"/>
      <c r="J103" s="403"/>
      <c r="K103" s="402"/>
    </row>
    <row r="104" spans="1:12" x14ac:dyDescent="0.25">
      <c r="A104" s="395" t="s">
        <v>390</v>
      </c>
      <c r="B104" s="403"/>
      <c r="C104" s="403" t="s">
        <v>128</v>
      </c>
      <c r="D104" s="404"/>
      <c r="E104" s="407"/>
      <c r="F104" s="403"/>
      <c r="G104" s="407"/>
      <c r="H104" s="403"/>
      <c r="I104" s="403"/>
      <c r="J104" s="408">
        <v>28400</v>
      </c>
      <c r="K104" s="402"/>
    </row>
    <row r="105" spans="1:12" ht="15.75" customHeight="1" x14ac:dyDescent="0.25">
      <c r="A105" s="395" t="s">
        <v>390</v>
      </c>
      <c r="B105" s="409" t="s">
        <v>129</v>
      </c>
      <c r="C105" s="410" t="s">
        <v>405</v>
      </c>
      <c r="D105" s="397" t="s">
        <v>215</v>
      </c>
      <c r="E105" s="411" t="s">
        <v>130</v>
      </c>
      <c r="F105" s="412">
        <v>7.6999999999999999E-2</v>
      </c>
      <c r="G105" s="403" t="s">
        <v>25</v>
      </c>
      <c r="H105" s="413">
        <v>0.15</v>
      </c>
      <c r="I105" s="414">
        <v>330</v>
      </c>
      <c r="J105" s="415">
        <v>2200</v>
      </c>
      <c r="K105" s="402"/>
    </row>
    <row r="106" spans="1:12" x14ac:dyDescent="0.25">
      <c r="A106" s="395" t="s">
        <v>390</v>
      </c>
      <c r="B106" s="409"/>
      <c r="C106" s="410"/>
      <c r="D106" s="397"/>
      <c r="E106" s="411"/>
      <c r="F106" s="412"/>
      <c r="G106" s="403" t="s">
        <v>26</v>
      </c>
      <c r="H106" s="413">
        <v>0.1</v>
      </c>
      <c r="I106" s="414">
        <v>220</v>
      </c>
      <c r="J106" s="415"/>
      <c r="K106" s="402"/>
    </row>
    <row r="107" spans="1:12" x14ac:dyDescent="0.25">
      <c r="A107" s="395" t="s">
        <v>390</v>
      </c>
      <c r="B107" s="409"/>
      <c r="C107" s="410"/>
      <c r="D107" s="397"/>
      <c r="E107" s="411"/>
      <c r="F107" s="412"/>
      <c r="G107" s="403" t="s">
        <v>27</v>
      </c>
      <c r="H107" s="413">
        <v>0.2</v>
      </c>
      <c r="I107" s="414">
        <v>440</v>
      </c>
      <c r="J107" s="415"/>
      <c r="K107" s="402"/>
    </row>
    <row r="108" spans="1:12" x14ac:dyDescent="0.25">
      <c r="A108" s="395" t="s">
        <v>390</v>
      </c>
      <c r="B108" s="409"/>
      <c r="C108" s="410"/>
      <c r="D108" s="397"/>
      <c r="E108" s="411"/>
      <c r="F108" s="412"/>
      <c r="G108" s="403" t="s">
        <v>57</v>
      </c>
      <c r="H108" s="413">
        <v>0.05</v>
      </c>
      <c r="I108" s="414">
        <v>110</v>
      </c>
      <c r="J108" s="415"/>
      <c r="K108" s="402"/>
    </row>
    <row r="109" spans="1:12" x14ac:dyDescent="0.25">
      <c r="A109" s="395" t="s">
        <v>390</v>
      </c>
      <c r="B109" s="409"/>
      <c r="C109" s="410"/>
      <c r="D109" s="397"/>
      <c r="E109" s="411"/>
      <c r="F109" s="412"/>
      <c r="G109" s="403" t="s">
        <v>364</v>
      </c>
      <c r="H109" s="413">
        <v>0.5</v>
      </c>
      <c r="I109" s="416">
        <v>1100</v>
      </c>
      <c r="J109" s="415"/>
      <c r="K109" s="402"/>
    </row>
    <row r="110" spans="1:12" ht="15.75" customHeight="1" x14ac:dyDescent="0.25">
      <c r="A110" s="395" t="s">
        <v>390</v>
      </c>
      <c r="B110" s="409" t="s">
        <v>131</v>
      </c>
      <c r="C110" s="410" t="s">
        <v>406</v>
      </c>
      <c r="D110" s="397" t="s">
        <v>215</v>
      </c>
      <c r="E110" s="411" t="s">
        <v>132</v>
      </c>
      <c r="F110" s="412">
        <v>0.113</v>
      </c>
      <c r="G110" s="403" t="s">
        <v>25</v>
      </c>
      <c r="H110" s="413">
        <v>0.15</v>
      </c>
      <c r="I110" s="414">
        <v>480</v>
      </c>
      <c r="J110" s="415">
        <v>3200</v>
      </c>
      <c r="K110" s="402"/>
    </row>
    <row r="111" spans="1:12" x14ac:dyDescent="0.25">
      <c r="A111" s="395" t="s">
        <v>390</v>
      </c>
      <c r="B111" s="409"/>
      <c r="C111" s="410"/>
      <c r="D111" s="397"/>
      <c r="E111" s="411"/>
      <c r="F111" s="412"/>
      <c r="G111" s="403" t="s">
        <v>26</v>
      </c>
      <c r="H111" s="413">
        <v>0.1</v>
      </c>
      <c r="I111" s="414">
        <v>320</v>
      </c>
      <c r="J111" s="415"/>
      <c r="K111" s="402"/>
    </row>
    <row r="112" spans="1:12" x14ac:dyDescent="0.25">
      <c r="A112" s="395" t="s">
        <v>390</v>
      </c>
      <c r="B112" s="409"/>
      <c r="C112" s="410"/>
      <c r="D112" s="397"/>
      <c r="E112" s="411"/>
      <c r="F112" s="412"/>
      <c r="G112" s="403" t="s">
        <v>27</v>
      </c>
      <c r="H112" s="413">
        <v>0.2</v>
      </c>
      <c r="I112" s="414">
        <v>640</v>
      </c>
      <c r="J112" s="415"/>
      <c r="K112" s="402"/>
    </row>
    <row r="113" spans="1:11" x14ac:dyDescent="0.25">
      <c r="A113" s="395" t="s">
        <v>390</v>
      </c>
      <c r="B113" s="409"/>
      <c r="C113" s="410"/>
      <c r="D113" s="397"/>
      <c r="E113" s="411"/>
      <c r="F113" s="412"/>
      <c r="G113" s="403" t="s">
        <v>57</v>
      </c>
      <c r="H113" s="413">
        <v>0.05</v>
      </c>
      <c r="I113" s="414">
        <v>160</v>
      </c>
      <c r="J113" s="415"/>
      <c r="K113" s="402"/>
    </row>
    <row r="114" spans="1:11" x14ac:dyDescent="0.25">
      <c r="A114" s="395" t="s">
        <v>390</v>
      </c>
      <c r="B114" s="409"/>
      <c r="C114" s="410"/>
      <c r="D114" s="397"/>
      <c r="E114" s="411"/>
      <c r="F114" s="412"/>
      <c r="G114" s="403" t="s">
        <v>364</v>
      </c>
      <c r="H114" s="413">
        <v>0.5</v>
      </c>
      <c r="I114" s="416">
        <v>1600</v>
      </c>
      <c r="J114" s="415"/>
      <c r="K114" s="402"/>
    </row>
    <row r="115" spans="1:11" ht="15.75" customHeight="1" x14ac:dyDescent="0.25">
      <c r="A115" s="395" t="s">
        <v>390</v>
      </c>
      <c r="B115" s="409" t="s">
        <v>133</v>
      </c>
      <c r="C115" s="410" t="s">
        <v>407</v>
      </c>
      <c r="D115" s="397" t="s">
        <v>215</v>
      </c>
      <c r="E115" s="411" t="s">
        <v>134</v>
      </c>
      <c r="F115" s="412">
        <v>0.13</v>
      </c>
      <c r="G115" s="403" t="s">
        <v>25</v>
      </c>
      <c r="H115" s="413">
        <v>0.15</v>
      </c>
      <c r="I115" s="414">
        <v>555</v>
      </c>
      <c r="J115" s="415">
        <v>3700</v>
      </c>
      <c r="K115" s="402"/>
    </row>
    <row r="116" spans="1:11" x14ac:dyDescent="0.25">
      <c r="A116" s="395" t="s">
        <v>390</v>
      </c>
      <c r="B116" s="409"/>
      <c r="C116" s="410"/>
      <c r="D116" s="397"/>
      <c r="E116" s="411"/>
      <c r="F116" s="412"/>
      <c r="G116" s="403" t="s">
        <v>26</v>
      </c>
      <c r="H116" s="413">
        <v>0.1</v>
      </c>
      <c r="I116" s="414">
        <v>370</v>
      </c>
      <c r="J116" s="415"/>
      <c r="K116" s="402"/>
    </row>
    <row r="117" spans="1:11" x14ac:dyDescent="0.25">
      <c r="A117" s="395" t="s">
        <v>390</v>
      </c>
      <c r="B117" s="409"/>
      <c r="C117" s="410"/>
      <c r="D117" s="397"/>
      <c r="E117" s="411"/>
      <c r="F117" s="412"/>
      <c r="G117" s="403" t="s">
        <v>27</v>
      </c>
      <c r="H117" s="413">
        <v>0.2</v>
      </c>
      <c r="I117" s="414">
        <v>740</v>
      </c>
      <c r="J117" s="415"/>
      <c r="K117" s="402"/>
    </row>
    <row r="118" spans="1:11" x14ac:dyDescent="0.25">
      <c r="A118" s="395" t="s">
        <v>390</v>
      </c>
      <c r="B118" s="409"/>
      <c r="C118" s="410"/>
      <c r="D118" s="397"/>
      <c r="E118" s="411"/>
      <c r="F118" s="412"/>
      <c r="G118" s="403" t="s">
        <v>57</v>
      </c>
      <c r="H118" s="413">
        <v>0.05</v>
      </c>
      <c r="I118" s="414">
        <v>185</v>
      </c>
      <c r="J118" s="415"/>
      <c r="K118" s="402"/>
    </row>
    <row r="119" spans="1:11" x14ac:dyDescent="0.25">
      <c r="A119" s="395" t="s">
        <v>390</v>
      </c>
      <c r="B119" s="409"/>
      <c r="C119" s="410"/>
      <c r="D119" s="397"/>
      <c r="E119" s="411"/>
      <c r="F119" s="412"/>
      <c r="G119" s="403" t="s">
        <v>364</v>
      </c>
      <c r="H119" s="413">
        <v>0.5</v>
      </c>
      <c r="I119" s="416">
        <v>1850</v>
      </c>
      <c r="J119" s="415"/>
      <c r="K119" s="402"/>
    </row>
    <row r="120" spans="1:11" ht="15.75" customHeight="1" x14ac:dyDescent="0.25">
      <c r="A120" s="395" t="s">
        <v>390</v>
      </c>
      <c r="B120" s="409" t="s">
        <v>135</v>
      </c>
      <c r="C120" s="410" t="s">
        <v>408</v>
      </c>
      <c r="D120" s="397" t="s">
        <v>84</v>
      </c>
      <c r="E120" s="411" t="s">
        <v>136</v>
      </c>
      <c r="F120" s="412">
        <v>3.5000000000000003E-2</v>
      </c>
      <c r="G120" s="403" t="s">
        <v>25</v>
      </c>
      <c r="H120" s="413">
        <v>0.15</v>
      </c>
      <c r="I120" s="414">
        <v>150</v>
      </c>
      <c r="J120" s="415">
        <v>1000</v>
      </c>
      <c r="K120" s="402"/>
    </row>
    <row r="121" spans="1:11" x14ac:dyDescent="0.25">
      <c r="A121" s="395" t="s">
        <v>390</v>
      </c>
      <c r="B121" s="409"/>
      <c r="C121" s="410"/>
      <c r="D121" s="397"/>
      <c r="E121" s="411"/>
      <c r="F121" s="412"/>
      <c r="G121" s="403" t="s">
        <v>26</v>
      </c>
      <c r="H121" s="413">
        <v>0.1</v>
      </c>
      <c r="I121" s="414">
        <v>100</v>
      </c>
      <c r="J121" s="415"/>
      <c r="K121" s="402"/>
    </row>
    <row r="122" spans="1:11" x14ac:dyDescent="0.25">
      <c r="A122" s="395" t="s">
        <v>390</v>
      </c>
      <c r="B122" s="409"/>
      <c r="C122" s="410"/>
      <c r="D122" s="397"/>
      <c r="E122" s="411"/>
      <c r="F122" s="412"/>
      <c r="G122" s="403" t="s">
        <v>27</v>
      </c>
      <c r="H122" s="413">
        <v>0.2</v>
      </c>
      <c r="I122" s="414">
        <v>200</v>
      </c>
      <c r="J122" s="415"/>
      <c r="K122" s="402"/>
    </row>
    <row r="123" spans="1:11" x14ac:dyDescent="0.25">
      <c r="A123" s="395" t="s">
        <v>390</v>
      </c>
      <c r="B123" s="409"/>
      <c r="C123" s="410"/>
      <c r="D123" s="397"/>
      <c r="E123" s="411"/>
      <c r="F123" s="412"/>
      <c r="G123" s="403" t="s">
        <v>57</v>
      </c>
      <c r="H123" s="413">
        <v>0.05</v>
      </c>
      <c r="I123" s="414">
        <v>50</v>
      </c>
      <c r="J123" s="415"/>
      <c r="K123" s="402"/>
    </row>
    <row r="124" spans="1:11" x14ac:dyDescent="0.25">
      <c r="A124" s="395" t="s">
        <v>390</v>
      </c>
      <c r="B124" s="409"/>
      <c r="C124" s="410"/>
      <c r="D124" s="397"/>
      <c r="E124" s="411"/>
      <c r="F124" s="412"/>
      <c r="G124" s="403" t="s">
        <v>364</v>
      </c>
      <c r="H124" s="413">
        <v>0.5</v>
      </c>
      <c r="I124" s="414">
        <v>500</v>
      </c>
      <c r="J124" s="415"/>
      <c r="K124" s="402"/>
    </row>
    <row r="125" spans="1:11" ht="15.75" customHeight="1" x14ac:dyDescent="0.25">
      <c r="A125" s="395" t="s">
        <v>390</v>
      </c>
      <c r="B125" s="409" t="s">
        <v>137</v>
      </c>
      <c r="C125" s="410" t="s">
        <v>409</v>
      </c>
      <c r="D125" s="397" t="s">
        <v>84</v>
      </c>
      <c r="E125" s="411" t="s">
        <v>138</v>
      </c>
      <c r="F125" s="412">
        <v>2.5000000000000001E-2</v>
      </c>
      <c r="G125" s="403" t="s">
        <v>25</v>
      </c>
      <c r="H125" s="413">
        <v>0.15</v>
      </c>
      <c r="I125" s="414">
        <v>105</v>
      </c>
      <c r="J125" s="419">
        <v>700</v>
      </c>
      <c r="K125" s="402"/>
    </row>
    <row r="126" spans="1:11" x14ac:dyDescent="0.25">
      <c r="A126" s="395" t="s">
        <v>390</v>
      </c>
      <c r="B126" s="409"/>
      <c r="C126" s="410"/>
      <c r="D126" s="397"/>
      <c r="E126" s="411"/>
      <c r="F126" s="412"/>
      <c r="G126" s="403" t="s">
        <v>26</v>
      </c>
      <c r="H126" s="413">
        <v>0.1</v>
      </c>
      <c r="I126" s="414">
        <v>70</v>
      </c>
      <c r="J126" s="419"/>
      <c r="K126" s="402"/>
    </row>
    <row r="127" spans="1:11" x14ac:dyDescent="0.25">
      <c r="A127" s="395" t="s">
        <v>390</v>
      </c>
      <c r="B127" s="409"/>
      <c r="C127" s="410"/>
      <c r="D127" s="397"/>
      <c r="E127" s="411"/>
      <c r="F127" s="412"/>
      <c r="G127" s="403" t="s">
        <v>27</v>
      </c>
      <c r="H127" s="413">
        <v>0.2</v>
      </c>
      <c r="I127" s="414">
        <v>140</v>
      </c>
      <c r="J127" s="419"/>
      <c r="K127" s="402"/>
    </row>
    <row r="128" spans="1:11" x14ac:dyDescent="0.25">
      <c r="A128" s="395" t="s">
        <v>390</v>
      </c>
      <c r="B128" s="409"/>
      <c r="C128" s="410"/>
      <c r="D128" s="397"/>
      <c r="E128" s="411"/>
      <c r="F128" s="412"/>
      <c r="G128" s="403" t="s">
        <v>57</v>
      </c>
      <c r="H128" s="413">
        <v>0.05</v>
      </c>
      <c r="I128" s="414">
        <v>35</v>
      </c>
      <c r="J128" s="419"/>
      <c r="K128" s="402"/>
    </row>
    <row r="129" spans="1:11" x14ac:dyDescent="0.25">
      <c r="A129" s="395" t="s">
        <v>390</v>
      </c>
      <c r="B129" s="409"/>
      <c r="C129" s="410"/>
      <c r="D129" s="397"/>
      <c r="E129" s="411"/>
      <c r="F129" s="412"/>
      <c r="G129" s="403" t="s">
        <v>364</v>
      </c>
      <c r="H129" s="413">
        <v>0.5</v>
      </c>
      <c r="I129" s="414">
        <v>350</v>
      </c>
      <c r="J129" s="419"/>
      <c r="K129" s="402"/>
    </row>
    <row r="130" spans="1:11" ht="15.75" customHeight="1" x14ac:dyDescent="0.25">
      <c r="A130" s="395" t="s">
        <v>390</v>
      </c>
      <c r="B130" s="409" t="s">
        <v>139</v>
      </c>
      <c r="C130" s="410" t="s">
        <v>410</v>
      </c>
      <c r="D130" s="397" t="s">
        <v>84</v>
      </c>
      <c r="E130" s="411" t="s">
        <v>140</v>
      </c>
      <c r="F130" s="412">
        <v>2.1000000000000001E-2</v>
      </c>
      <c r="G130" s="403" t="s">
        <v>25</v>
      </c>
      <c r="H130" s="413">
        <v>0.15</v>
      </c>
      <c r="I130" s="414">
        <v>90</v>
      </c>
      <c r="J130" s="419">
        <v>600</v>
      </c>
      <c r="K130" s="402"/>
    </row>
    <row r="131" spans="1:11" x14ac:dyDescent="0.25">
      <c r="A131" s="395" t="s">
        <v>390</v>
      </c>
      <c r="B131" s="409"/>
      <c r="C131" s="410"/>
      <c r="D131" s="397"/>
      <c r="E131" s="411"/>
      <c r="F131" s="412"/>
      <c r="G131" s="403" t="s">
        <v>26</v>
      </c>
      <c r="H131" s="413">
        <v>0.1</v>
      </c>
      <c r="I131" s="414">
        <v>60</v>
      </c>
      <c r="J131" s="419"/>
      <c r="K131" s="402"/>
    </row>
    <row r="132" spans="1:11" x14ac:dyDescent="0.25">
      <c r="A132" s="395" t="s">
        <v>390</v>
      </c>
      <c r="B132" s="409"/>
      <c r="C132" s="410"/>
      <c r="D132" s="397"/>
      <c r="E132" s="411"/>
      <c r="F132" s="412"/>
      <c r="G132" s="403" t="s">
        <v>27</v>
      </c>
      <c r="H132" s="413">
        <v>0.2</v>
      </c>
      <c r="I132" s="414">
        <v>120</v>
      </c>
      <c r="J132" s="419"/>
      <c r="K132" s="402"/>
    </row>
    <row r="133" spans="1:11" x14ac:dyDescent="0.25">
      <c r="A133" s="395" t="s">
        <v>390</v>
      </c>
      <c r="B133" s="409"/>
      <c r="C133" s="410"/>
      <c r="D133" s="397"/>
      <c r="E133" s="411"/>
      <c r="F133" s="412"/>
      <c r="G133" s="403" t="s">
        <v>57</v>
      </c>
      <c r="H133" s="413">
        <v>0.05</v>
      </c>
      <c r="I133" s="414">
        <v>30</v>
      </c>
      <c r="J133" s="419"/>
      <c r="K133" s="402"/>
    </row>
    <row r="134" spans="1:11" x14ac:dyDescent="0.25">
      <c r="A134" s="395" t="s">
        <v>390</v>
      </c>
      <c r="B134" s="409"/>
      <c r="C134" s="410"/>
      <c r="D134" s="397"/>
      <c r="E134" s="411"/>
      <c r="F134" s="412"/>
      <c r="G134" s="403" t="s">
        <v>364</v>
      </c>
      <c r="H134" s="413">
        <v>0.5</v>
      </c>
      <c r="I134" s="414">
        <v>300</v>
      </c>
      <c r="J134" s="419"/>
      <c r="K134" s="402"/>
    </row>
    <row r="135" spans="1:11" x14ac:dyDescent="0.25">
      <c r="A135" s="395" t="s">
        <v>390</v>
      </c>
      <c r="B135" s="403"/>
      <c r="C135" s="403" t="s">
        <v>141</v>
      </c>
      <c r="D135" s="404"/>
      <c r="E135" s="407"/>
      <c r="F135" s="403"/>
      <c r="G135" s="407"/>
      <c r="H135" s="403"/>
      <c r="I135" s="403"/>
      <c r="J135" s="403"/>
      <c r="K135" s="402"/>
    </row>
    <row r="136" spans="1:11" ht="15.75" customHeight="1" x14ac:dyDescent="0.25">
      <c r="A136" s="395" t="s">
        <v>390</v>
      </c>
      <c r="B136" s="409" t="s">
        <v>142</v>
      </c>
      <c r="C136" s="410" t="s">
        <v>411</v>
      </c>
      <c r="D136" s="397" t="s">
        <v>215</v>
      </c>
      <c r="E136" s="411" t="s">
        <v>143</v>
      </c>
      <c r="F136" s="412">
        <v>0.113</v>
      </c>
      <c r="G136" s="403" t="s">
        <v>25</v>
      </c>
      <c r="H136" s="413">
        <v>0.15</v>
      </c>
      <c r="I136" s="414">
        <v>480</v>
      </c>
      <c r="J136" s="415">
        <v>3200</v>
      </c>
      <c r="K136" s="402"/>
    </row>
    <row r="137" spans="1:11" x14ac:dyDescent="0.25">
      <c r="A137" s="395" t="s">
        <v>390</v>
      </c>
      <c r="B137" s="409"/>
      <c r="C137" s="410"/>
      <c r="D137" s="397"/>
      <c r="E137" s="411"/>
      <c r="F137" s="412"/>
      <c r="G137" s="403" t="s">
        <v>26</v>
      </c>
      <c r="H137" s="413">
        <v>0.1</v>
      </c>
      <c r="I137" s="414">
        <v>320</v>
      </c>
      <c r="J137" s="415"/>
      <c r="K137" s="402"/>
    </row>
    <row r="138" spans="1:11" x14ac:dyDescent="0.25">
      <c r="A138" s="395" t="s">
        <v>390</v>
      </c>
      <c r="B138" s="409"/>
      <c r="C138" s="410"/>
      <c r="D138" s="397"/>
      <c r="E138" s="411"/>
      <c r="F138" s="412"/>
      <c r="G138" s="403" t="s">
        <v>27</v>
      </c>
      <c r="H138" s="413">
        <v>0.2</v>
      </c>
      <c r="I138" s="414">
        <v>640</v>
      </c>
      <c r="J138" s="415"/>
      <c r="K138" s="402"/>
    </row>
    <row r="139" spans="1:11" x14ac:dyDescent="0.25">
      <c r="A139" s="395" t="s">
        <v>390</v>
      </c>
      <c r="B139" s="409"/>
      <c r="C139" s="410"/>
      <c r="D139" s="397"/>
      <c r="E139" s="411"/>
      <c r="F139" s="412"/>
      <c r="G139" s="403" t="s">
        <v>57</v>
      </c>
      <c r="H139" s="413">
        <v>0.05</v>
      </c>
      <c r="I139" s="414">
        <v>160</v>
      </c>
      <c r="J139" s="415"/>
      <c r="K139" s="402"/>
    </row>
    <row r="140" spans="1:11" x14ac:dyDescent="0.25">
      <c r="A140" s="395" t="s">
        <v>390</v>
      </c>
      <c r="B140" s="409"/>
      <c r="C140" s="410"/>
      <c r="D140" s="397"/>
      <c r="E140" s="411"/>
      <c r="F140" s="412"/>
      <c r="G140" s="403" t="s">
        <v>364</v>
      </c>
      <c r="H140" s="413">
        <v>0.5</v>
      </c>
      <c r="I140" s="416">
        <v>1600</v>
      </c>
      <c r="J140" s="415"/>
      <c r="K140" s="402"/>
    </row>
    <row r="141" spans="1:11" ht="15.75" customHeight="1" x14ac:dyDescent="0.25">
      <c r="A141" s="395" t="s">
        <v>390</v>
      </c>
      <c r="B141" s="409" t="s">
        <v>144</v>
      </c>
      <c r="C141" s="410" t="s">
        <v>412</v>
      </c>
      <c r="D141" s="397" t="s">
        <v>84</v>
      </c>
      <c r="E141" s="411" t="s">
        <v>145</v>
      </c>
      <c r="F141" s="412">
        <v>1.7999999999999999E-2</v>
      </c>
      <c r="G141" s="403" t="s">
        <v>25</v>
      </c>
      <c r="H141" s="413">
        <v>0.15</v>
      </c>
      <c r="I141" s="414">
        <v>75</v>
      </c>
      <c r="J141" s="419">
        <v>500</v>
      </c>
      <c r="K141" s="402"/>
    </row>
    <row r="142" spans="1:11" x14ac:dyDescent="0.25">
      <c r="A142" s="395" t="s">
        <v>390</v>
      </c>
      <c r="B142" s="409"/>
      <c r="C142" s="410"/>
      <c r="D142" s="397"/>
      <c r="E142" s="411"/>
      <c r="F142" s="412"/>
      <c r="G142" s="403" t="s">
        <v>26</v>
      </c>
      <c r="H142" s="413">
        <v>0.1</v>
      </c>
      <c r="I142" s="414">
        <v>50</v>
      </c>
      <c r="J142" s="419"/>
      <c r="K142" s="402"/>
    </row>
    <row r="143" spans="1:11" x14ac:dyDescent="0.25">
      <c r="A143" s="395" t="s">
        <v>390</v>
      </c>
      <c r="B143" s="409"/>
      <c r="C143" s="410"/>
      <c r="D143" s="397"/>
      <c r="E143" s="411"/>
      <c r="F143" s="412"/>
      <c r="G143" s="403" t="s">
        <v>27</v>
      </c>
      <c r="H143" s="413">
        <v>0.2</v>
      </c>
      <c r="I143" s="414">
        <v>100</v>
      </c>
      <c r="J143" s="419"/>
      <c r="K143" s="402"/>
    </row>
    <row r="144" spans="1:11" x14ac:dyDescent="0.25">
      <c r="A144" s="395" t="s">
        <v>390</v>
      </c>
      <c r="B144" s="409"/>
      <c r="C144" s="410"/>
      <c r="D144" s="397"/>
      <c r="E144" s="411"/>
      <c r="F144" s="412"/>
      <c r="G144" s="403" t="s">
        <v>57</v>
      </c>
      <c r="H144" s="413">
        <v>0.05</v>
      </c>
      <c r="I144" s="414">
        <v>25</v>
      </c>
      <c r="J144" s="419"/>
      <c r="K144" s="402"/>
    </row>
    <row r="145" spans="1:11" x14ac:dyDescent="0.25">
      <c r="A145" s="395" t="s">
        <v>390</v>
      </c>
      <c r="B145" s="409"/>
      <c r="C145" s="410"/>
      <c r="D145" s="397"/>
      <c r="E145" s="411"/>
      <c r="F145" s="412"/>
      <c r="G145" s="403" t="s">
        <v>364</v>
      </c>
      <c r="H145" s="413">
        <v>0.5</v>
      </c>
      <c r="I145" s="414">
        <v>250</v>
      </c>
      <c r="J145" s="419"/>
      <c r="K145" s="402"/>
    </row>
    <row r="146" spans="1:11" x14ac:dyDescent="0.25">
      <c r="A146" s="395" t="s">
        <v>390</v>
      </c>
      <c r="B146" s="403"/>
      <c r="C146" s="403" t="s">
        <v>146</v>
      </c>
      <c r="D146" s="404"/>
      <c r="E146" s="407"/>
      <c r="F146" s="403"/>
      <c r="G146" s="407"/>
      <c r="H146" s="403"/>
      <c r="I146" s="403"/>
      <c r="J146" s="403"/>
      <c r="K146" s="402"/>
    </row>
    <row r="147" spans="1:11" ht="15.75" customHeight="1" x14ac:dyDescent="0.25">
      <c r="A147" s="395" t="s">
        <v>390</v>
      </c>
      <c r="B147" s="409" t="s">
        <v>147</v>
      </c>
      <c r="C147" s="410" t="s">
        <v>413</v>
      </c>
      <c r="D147" s="397" t="s">
        <v>215</v>
      </c>
      <c r="E147" s="411" t="s">
        <v>148</v>
      </c>
      <c r="F147" s="412">
        <v>0.13</v>
      </c>
      <c r="G147" s="403" t="s">
        <v>25</v>
      </c>
      <c r="H147" s="413">
        <v>0.15</v>
      </c>
      <c r="I147" s="414">
        <v>555</v>
      </c>
      <c r="J147" s="415">
        <v>3700</v>
      </c>
      <c r="K147" s="402"/>
    </row>
    <row r="148" spans="1:11" x14ac:dyDescent="0.25">
      <c r="A148" s="395" t="s">
        <v>390</v>
      </c>
      <c r="B148" s="409"/>
      <c r="C148" s="410"/>
      <c r="D148" s="397"/>
      <c r="E148" s="411"/>
      <c r="F148" s="412"/>
      <c r="G148" s="403" t="s">
        <v>26</v>
      </c>
      <c r="H148" s="413">
        <v>0.1</v>
      </c>
      <c r="I148" s="414">
        <v>370</v>
      </c>
      <c r="J148" s="415"/>
      <c r="K148" s="402"/>
    </row>
    <row r="149" spans="1:11" x14ac:dyDescent="0.25">
      <c r="A149" s="395" t="s">
        <v>390</v>
      </c>
      <c r="B149" s="409"/>
      <c r="C149" s="410"/>
      <c r="D149" s="397"/>
      <c r="E149" s="411"/>
      <c r="F149" s="412"/>
      <c r="G149" s="403" t="s">
        <v>27</v>
      </c>
      <c r="H149" s="413">
        <v>0.2</v>
      </c>
      <c r="I149" s="414">
        <v>740</v>
      </c>
      <c r="J149" s="415"/>
      <c r="K149" s="402"/>
    </row>
    <row r="150" spans="1:11" x14ac:dyDescent="0.25">
      <c r="A150" s="395" t="s">
        <v>390</v>
      </c>
      <c r="B150" s="409"/>
      <c r="C150" s="410"/>
      <c r="D150" s="397"/>
      <c r="E150" s="411"/>
      <c r="F150" s="412"/>
      <c r="G150" s="403" t="s">
        <v>57</v>
      </c>
      <c r="H150" s="413">
        <v>0.05</v>
      </c>
      <c r="I150" s="414">
        <v>185</v>
      </c>
      <c r="J150" s="415"/>
      <c r="K150" s="402"/>
    </row>
    <row r="151" spans="1:11" x14ac:dyDescent="0.25">
      <c r="A151" s="395" t="s">
        <v>390</v>
      </c>
      <c r="B151" s="409"/>
      <c r="C151" s="410"/>
      <c r="D151" s="397"/>
      <c r="E151" s="411"/>
      <c r="F151" s="412"/>
      <c r="G151" s="403" t="s">
        <v>364</v>
      </c>
      <c r="H151" s="413">
        <v>0.5</v>
      </c>
      <c r="I151" s="416">
        <v>1850</v>
      </c>
      <c r="J151" s="415"/>
      <c r="K151" s="402"/>
    </row>
    <row r="152" spans="1:11" ht="15.75" customHeight="1" x14ac:dyDescent="0.25">
      <c r="A152" s="395" t="s">
        <v>390</v>
      </c>
      <c r="B152" s="409" t="s">
        <v>149</v>
      </c>
      <c r="C152" s="410" t="s">
        <v>414</v>
      </c>
      <c r="D152" s="397" t="s">
        <v>215</v>
      </c>
      <c r="E152" s="411" t="s">
        <v>150</v>
      </c>
      <c r="F152" s="412">
        <v>2.1000000000000001E-2</v>
      </c>
      <c r="G152" s="403" t="s">
        <v>25</v>
      </c>
      <c r="H152" s="413">
        <v>0.15</v>
      </c>
      <c r="I152" s="414">
        <v>90</v>
      </c>
      <c r="J152" s="419">
        <v>600</v>
      </c>
      <c r="K152" s="402"/>
    </row>
    <row r="153" spans="1:11" x14ac:dyDescent="0.25">
      <c r="A153" s="395" t="s">
        <v>390</v>
      </c>
      <c r="B153" s="409"/>
      <c r="C153" s="410"/>
      <c r="D153" s="397"/>
      <c r="E153" s="411"/>
      <c r="F153" s="412"/>
      <c r="G153" s="403" t="s">
        <v>26</v>
      </c>
      <c r="H153" s="413">
        <v>0.1</v>
      </c>
      <c r="I153" s="414">
        <v>60</v>
      </c>
      <c r="J153" s="419"/>
      <c r="K153" s="402"/>
    </row>
    <row r="154" spans="1:11" x14ac:dyDescent="0.25">
      <c r="A154" s="395" t="s">
        <v>390</v>
      </c>
      <c r="B154" s="409"/>
      <c r="C154" s="410"/>
      <c r="D154" s="397"/>
      <c r="E154" s="411"/>
      <c r="F154" s="412"/>
      <c r="G154" s="403" t="s">
        <v>27</v>
      </c>
      <c r="H154" s="413">
        <v>0.2</v>
      </c>
      <c r="I154" s="414">
        <v>120</v>
      </c>
      <c r="J154" s="419"/>
      <c r="K154" s="402"/>
    </row>
    <row r="155" spans="1:11" x14ac:dyDescent="0.25">
      <c r="A155" s="395" t="s">
        <v>390</v>
      </c>
      <c r="B155" s="409"/>
      <c r="C155" s="410"/>
      <c r="D155" s="397"/>
      <c r="E155" s="411"/>
      <c r="F155" s="412"/>
      <c r="G155" s="403" t="s">
        <v>57</v>
      </c>
      <c r="H155" s="413">
        <v>0.05</v>
      </c>
      <c r="I155" s="414">
        <v>30</v>
      </c>
      <c r="J155" s="419"/>
      <c r="K155" s="402"/>
    </row>
    <row r="156" spans="1:11" x14ac:dyDescent="0.25">
      <c r="A156" s="395" t="s">
        <v>390</v>
      </c>
      <c r="B156" s="409"/>
      <c r="C156" s="410"/>
      <c r="D156" s="397"/>
      <c r="E156" s="411"/>
      <c r="F156" s="412"/>
      <c r="G156" s="403" t="s">
        <v>364</v>
      </c>
      <c r="H156" s="413">
        <v>0.5</v>
      </c>
      <c r="I156" s="414">
        <v>300</v>
      </c>
      <c r="J156" s="419"/>
      <c r="K156" s="402"/>
    </row>
    <row r="157" spans="1:11" ht="15.75" customHeight="1" x14ac:dyDescent="0.25">
      <c r="A157" s="395" t="s">
        <v>390</v>
      </c>
      <c r="B157" s="409" t="s">
        <v>151</v>
      </c>
      <c r="C157" s="410" t="s">
        <v>415</v>
      </c>
      <c r="D157" s="397" t="s">
        <v>84</v>
      </c>
      <c r="E157" s="411" t="s">
        <v>152</v>
      </c>
      <c r="F157" s="412">
        <v>2.5000000000000001E-2</v>
      </c>
      <c r="G157" s="403" t="s">
        <v>25</v>
      </c>
      <c r="H157" s="413">
        <v>0.15</v>
      </c>
      <c r="I157" s="414">
        <v>105</v>
      </c>
      <c r="J157" s="419">
        <v>700</v>
      </c>
      <c r="K157" s="402"/>
    </row>
    <row r="158" spans="1:11" x14ac:dyDescent="0.25">
      <c r="A158" s="395" t="s">
        <v>390</v>
      </c>
      <c r="B158" s="409"/>
      <c r="C158" s="410"/>
      <c r="D158" s="397"/>
      <c r="E158" s="411"/>
      <c r="F158" s="412"/>
      <c r="G158" s="403" t="s">
        <v>26</v>
      </c>
      <c r="H158" s="413">
        <v>0.1</v>
      </c>
      <c r="I158" s="414">
        <v>70</v>
      </c>
      <c r="J158" s="419"/>
      <c r="K158" s="402"/>
    </row>
    <row r="159" spans="1:11" x14ac:dyDescent="0.25">
      <c r="A159" s="395" t="s">
        <v>390</v>
      </c>
      <c r="B159" s="409"/>
      <c r="C159" s="410"/>
      <c r="D159" s="397"/>
      <c r="E159" s="411"/>
      <c r="F159" s="412"/>
      <c r="G159" s="403" t="s">
        <v>27</v>
      </c>
      <c r="H159" s="413">
        <v>0.2</v>
      </c>
      <c r="I159" s="414">
        <v>140</v>
      </c>
      <c r="J159" s="419"/>
      <c r="K159" s="402"/>
    </row>
    <row r="160" spans="1:11" x14ac:dyDescent="0.25">
      <c r="A160" s="395" t="s">
        <v>390</v>
      </c>
      <c r="B160" s="409"/>
      <c r="C160" s="410"/>
      <c r="D160" s="397"/>
      <c r="E160" s="411"/>
      <c r="F160" s="412"/>
      <c r="G160" s="403" t="s">
        <v>57</v>
      </c>
      <c r="H160" s="413">
        <v>0.05</v>
      </c>
      <c r="I160" s="414">
        <v>35</v>
      </c>
      <c r="J160" s="419"/>
      <c r="K160" s="402"/>
    </row>
    <row r="161" spans="1:11" x14ac:dyDescent="0.25">
      <c r="A161" s="395" t="s">
        <v>390</v>
      </c>
      <c r="B161" s="409"/>
      <c r="C161" s="410"/>
      <c r="D161" s="397"/>
      <c r="E161" s="411"/>
      <c r="F161" s="412"/>
      <c r="G161" s="403" t="s">
        <v>364</v>
      </c>
      <c r="H161" s="413">
        <v>0.5</v>
      </c>
      <c r="I161" s="414">
        <v>350</v>
      </c>
      <c r="J161" s="419"/>
      <c r="K161" s="402"/>
    </row>
    <row r="162" spans="1:11" x14ac:dyDescent="0.25">
      <c r="A162" s="395" t="s">
        <v>390</v>
      </c>
      <c r="B162" s="403"/>
      <c r="C162" s="403" t="s">
        <v>153</v>
      </c>
      <c r="D162" s="404"/>
      <c r="E162" s="407"/>
      <c r="F162" s="403"/>
      <c r="G162" s="407"/>
      <c r="H162" s="403"/>
      <c r="I162" s="403"/>
      <c r="J162" s="403"/>
      <c r="K162" s="402"/>
    </row>
    <row r="163" spans="1:11" ht="15.75" customHeight="1" x14ac:dyDescent="0.25">
      <c r="A163" s="395" t="s">
        <v>390</v>
      </c>
      <c r="B163" s="409" t="s">
        <v>154</v>
      </c>
      <c r="C163" s="410" t="s">
        <v>416</v>
      </c>
      <c r="D163" s="397" t="s">
        <v>215</v>
      </c>
      <c r="E163" s="411" t="s">
        <v>155</v>
      </c>
      <c r="F163" s="412">
        <v>9.1999999999999998E-2</v>
      </c>
      <c r="G163" s="403" t="s">
        <v>25</v>
      </c>
      <c r="H163" s="413">
        <v>0.15</v>
      </c>
      <c r="I163" s="414">
        <v>390</v>
      </c>
      <c r="J163" s="415">
        <v>2600</v>
      </c>
      <c r="K163" s="402"/>
    </row>
    <row r="164" spans="1:11" x14ac:dyDescent="0.25">
      <c r="A164" s="395" t="s">
        <v>390</v>
      </c>
      <c r="B164" s="409"/>
      <c r="C164" s="410"/>
      <c r="D164" s="397"/>
      <c r="E164" s="411"/>
      <c r="F164" s="412"/>
      <c r="G164" s="403" t="s">
        <v>26</v>
      </c>
      <c r="H164" s="413">
        <v>0.1</v>
      </c>
      <c r="I164" s="414">
        <v>260</v>
      </c>
      <c r="J164" s="415"/>
      <c r="K164" s="402"/>
    </row>
    <row r="165" spans="1:11" x14ac:dyDescent="0.25">
      <c r="A165" s="395" t="s">
        <v>390</v>
      </c>
      <c r="B165" s="409"/>
      <c r="C165" s="410"/>
      <c r="D165" s="397"/>
      <c r="E165" s="411"/>
      <c r="F165" s="412"/>
      <c r="G165" s="403" t="s">
        <v>27</v>
      </c>
      <c r="H165" s="413">
        <v>0.2</v>
      </c>
      <c r="I165" s="414">
        <v>520</v>
      </c>
      <c r="J165" s="415"/>
      <c r="K165" s="402"/>
    </row>
    <row r="166" spans="1:11" x14ac:dyDescent="0.25">
      <c r="A166" s="395" t="s">
        <v>390</v>
      </c>
      <c r="B166" s="409"/>
      <c r="C166" s="410"/>
      <c r="D166" s="397"/>
      <c r="E166" s="411"/>
      <c r="F166" s="412"/>
      <c r="G166" s="403" t="s">
        <v>57</v>
      </c>
      <c r="H166" s="413">
        <v>0.05</v>
      </c>
      <c r="I166" s="414">
        <v>130</v>
      </c>
      <c r="J166" s="415"/>
      <c r="K166" s="402"/>
    </row>
    <row r="167" spans="1:11" x14ac:dyDescent="0.25">
      <c r="A167" s="395" t="s">
        <v>390</v>
      </c>
      <c r="B167" s="409"/>
      <c r="C167" s="410"/>
      <c r="D167" s="397"/>
      <c r="E167" s="411"/>
      <c r="F167" s="412"/>
      <c r="G167" s="403" t="s">
        <v>364</v>
      </c>
      <c r="H167" s="413">
        <v>0.5</v>
      </c>
      <c r="I167" s="416">
        <v>1300</v>
      </c>
      <c r="J167" s="415"/>
      <c r="K167" s="402"/>
    </row>
    <row r="168" spans="1:11" ht="15.75" customHeight="1" x14ac:dyDescent="0.25">
      <c r="A168" s="395" t="s">
        <v>390</v>
      </c>
      <c r="B168" s="409" t="s">
        <v>156</v>
      </c>
      <c r="C168" s="410" t="s">
        <v>417</v>
      </c>
      <c r="D168" s="397" t="s">
        <v>215</v>
      </c>
      <c r="E168" s="411" t="s">
        <v>157</v>
      </c>
      <c r="F168" s="412">
        <v>0.13700000000000001</v>
      </c>
      <c r="G168" s="403" t="s">
        <v>25</v>
      </c>
      <c r="H168" s="413">
        <v>0.15</v>
      </c>
      <c r="I168" s="414">
        <v>585</v>
      </c>
      <c r="J168" s="415">
        <v>3900</v>
      </c>
      <c r="K168" s="402"/>
    </row>
    <row r="169" spans="1:11" x14ac:dyDescent="0.25">
      <c r="A169" s="395" t="s">
        <v>390</v>
      </c>
      <c r="B169" s="409"/>
      <c r="C169" s="410"/>
      <c r="D169" s="397"/>
      <c r="E169" s="411"/>
      <c r="F169" s="412"/>
      <c r="G169" s="403" t="s">
        <v>26</v>
      </c>
      <c r="H169" s="413">
        <v>0.1</v>
      </c>
      <c r="I169" s="414">
        <v>390</v>
      </c>
      <c r="J169" s="415"/>
      <c r="K169" s="402"/>
    </row>
    <row r="170" spans="1:11" x14ac:dyDescent="0.25">
      <c r="A170" s="395" t="s">
        <v>390</v>
      </c>
      <c r="B170" s="409"/>
      <c r="C170" s="410"/>
      <c r="D170" s="397"/>
      <c r="E170" s="411"/>
      <c r="F170" s="412"/>
      <c r="G170" s="403" t="s">
        <v>27</v>
      </c>
      <c r="H170" s="413">
        <v>0.2</v>
      </c>
      <c r="I170" s="414">
        <v>780</v>
      </c>
      <c r="J170" s="415"/>
      <c r="K170" s="402"/>
    </row>
    <row r="171" spans="1:11" x14ac:dyDescent="0.25">
      <c r="A171" s="395" t="s">
        <v>390</v>
      </c>
      <c r="B171" s="409"/>
      <c r="C171" s="410"/>
      <c r="D171" s="397"/>
      <c r="E171" s="411"/>
      <c r="F171" s="412"/>
      <c r="G171" s="403" t="s">
        <v>57</v>
      </c>
      <c r="H171" s="413">
        <v>0.05</v>
      </c>
      <c r="I171" s="414">
        <v>195</v>
      </c>
      <c r="J171" s="415"/>
      <c r="K171" s="402"/>
    </row>
    <row r="172" spans="1:11" x14ac:dyDescent="0.25">
      <c r="A172" s="395" t="s">
        <v>390</v>
      </c>
      <c r="B172" s="409"/>
      <c r="C172" s="410"/>
      <c r="D172" s="397"/>
      <c r="E172" s="411"/>
      <c r="F172" s="412"/>
      <c r="G172" s="403" t="s">
        <v>364</v>
      </c>
      <c r="H172" s="413">
        <v>0.5</v>
      </c>
      <c r="I172" s="416">
        <v>1950</v>
      </c>
      <c r="J172" s="415"/>
      <c r="K172" s="402"/>
    </row>
    <row r="173" spans="1:11" ht="15.75" customHeight="1" x14ac:dyDescent="0.25">
      <c r="A173" s="395" t="s">
        <v>390</v>
      </c>
      <c r="B173" s="409" t="s">
        <v>158</v>
      </c>
      <c r="C173" s="410" t="s">
        <v>418</v>
      </c>
      <c r="D173" s="397" t="s">
        <v>84</v>
      </c>
      <c r="E173" s="411" t="s">
        <v>159</v>
      </c>
      <c r="F173" s="412">
        <v>2.8000000000000001E-2</v>
      </c>
      <c r="G173" s="403" t="s">
        <v>25</v>
      </c>
      <c r="H173" s="413">
        <v>0.15</v>
      </c>
      <c r="I173" s="414">
        <v>120</v>
      </c>
      <c r="J173" s="419">
        <v>800</v>
      </c>
      <c r="K173" s="402"/>
    </row>
    <row r="174" spans="1:11" x14ac:dyDescent="0.25">
      <c r="A174" s="395" t="s">
        <v>390</v>
      </c>
      <c r="B174" s="409"/>
      <c r="C174" s="410"/>
      <c r="D174" s="397"/>
      <c r="E174" s="411"/>
      <c r="F174" s="412"/>
      <c r="G174" s="403" t="s">
        <v>26</v>
      </c>
      <c r="H174" s="413">
        <v>0.1</v>
      </c>
      <c r="I174" s="414">
        <v>80</v>
      </c>
      <c r="J174" s="419"/>
      <c r="K174" s="402"/>
    </row>
    <row r="175" spans="1:11" x14ac:dyDescent="0.25">
      <c r="A175" s="395" t="s">
        <v>390</v>
      </c>
      <c r="B175" s="409"/>
      <c r="C175" s="410"/>
      <c r="D175" s="397"/>
      <c r="E175" s="411"/>
      <c r="F175" s="412"/>
      <c r="G175" s="403" t="s">
        <v>27</v>
      </c>
      <c r="H175" s="413">
        <v>0.2</v>
      </c>
      <c r="I175" s="414">
        <v>160</v>
      </c>
      <c r="J175" s="419"/>
      <c r="K175" s="402"/>
    </row>
    <row r="176" spans="1:11" x14ac:dyDescent="0.25">
      <c r="A176" s="395" t="s">
        <v>390</v>
      </c>
      <c r="B176" s="409"/>
      <c r="C176" s="410"/>
      <c r="D176" s="397"/>
      <c r="E176" s="411"/>
      <c r="F176" s="412"/>
      <c r="G176" s="403" t="s">
        <v>57</v>
      </c>
      <c r="H176" s="413">
        <v>0.05</v>
      </c>
      <c r="I176" s="414">
        <v>40</v>
      </c>
      <c r="J176" s="419"/>
      <c r="K176" s="402"/>
    </row>
    <row r="177" spans="1:12" x14ac:dyDescent="0.25">
      <c r="A177" s="395" t="s">
        <v>390</v>
      </c>
      <c r="B177" s="409"/>
      <c r="C177" s="410"/>
      <c r="D177" s="397"/>
      <c r="E177" s="411"/>
      <c r="F177" s="412"/>
      <c r="G177" s="403" t="s">
        <v>364</v>
      </c>
      <c r="H177" s="413">
        <v>0.5</v>
      </c>
      <c r="I177" s="414">
        <v>400</v>
      </c>
      <c r="J177" s="419"/>
      <c r="K177" s="402"/>
    </row>
    <row r="178" spans="1:12" ht="15.75" customHeight="1" x14ac:dyDescent="0.25">
      <c r="A178" s="395" t="s">
        <v>390</v>
      </c>
      <c r="B178" s="409" t="s">
        <v>160</v>
      </c>
      <c r="C178" s="410" t="s">
        <v>419</v>
      </c>
      <c r="D178" s="397" t="s">
        <v>84</v>
      </c>
      <c r="E178" s="411" t="s">
        <v>161</v>
      </c>
      <c r="F178" s="412">
        <v>3.5000000000000003E-2</v>
      </c>
      <c r="G178" s="403" t="s">
        <v>25</v>
      </c>
      <c r="H178" s="413">
        <v>0.15</v>
      </c>
      <c r="I178" s="414">
        <v>150</v>
      </c>
      <c r="J178" s="415">
        <v>1000</v>
      </c>
      <c r="K178" s="402"/>
    </row>
    <row r="179" spans="1:12" x14ac:dyDescent="0.25">
      <c r="A179" s="395" t="s">
        <v>390</v>
      </c>
      <c r="B179" s="409"/>
      <c r="C179" s="410"/>
      <c r="D179" s="397"/>
      <c r="E179" s="411"/>
      <c r="F179" s="412"/>
      <c r="G179" s="403" t="s">
        <v>26</v>
      </c>
      <c r="H179" s="413">
        <v>0.1</v>
      </c>
      <c r="I179" s="414">
        <v>100</v>
      </c>
      <c r="J179" s="415"/>
      <c r="K179" s="402"/>
    </row>
    <row r="180" spans="1:12" x14ac:dyDescent="0.25">
      <c r="A180" s="395" t="s">
        <v>390</v>
      </c>
      <c r="B180" s="409"/>
      <c r="C180" s="410"/>
      <c r="D180" s="397"/>
      <c r="E180" s="411"/>
      <c r="F180" s="412"/>
      <c r="G180" s="403" t="s">
        <v>27</v>
      </c>
      <c r="H180" s="413">
        <v>0.2</v>
      </c>
      <c r="I180" s="414">
        <v>200</v>
      </c>
      <c r="J180" s="415"/>
      <c r="K180" s="402"/>
    </row>
    <row r="181" spans="1:12" x14ac:dyDescent="0.25">
      <c r="A181" s="395" t="s">
        <v>390</v>
      </c>
      <c r="B181" s="409"/>
      <c r="C181" s="410"/>
      <c r="D181" s="397"/>
      <c r="E181" s="411"/>
      <c r="F181" s="412"/>
      <c r="G181" s="403" t="s">
        <v>57</v>
      </c>
      <c r="H181" s="413">
        <v>0.05</v>
      </c>
      <c r="I181" s="414">
        <v>50</v>
      </c>
      <c r="J181" s="415"/>
      <c r="K181" s="402"/>
    </row>
    <row r="182" spans="1:12" x14ac:dyDescent="0.25">
      <c r="A182" s="395" t="s">
        <v>390</v>
      </c>
      <c r="B182" s="409"/>
      <c r="C182" s="410"/>
      <c r="D182" s="397"/>
      <c r="E182" s="411"/>
      <c r="F182" s="412"/>
      <c r="G182" s="403" t="s">
        <v>364</v>
      </c>
      <c r="H182" s="413">
        <v>0.5</v>
      </c>
      <c r="I182" s="414">
        <v>500</v>
      </c>
      <c r="J182" s="415"/>
      <c r="K182" s="402"/>
      <c r="L182" s="420">
        <f>+SUM(F105:F182)</f>
        <v>1</v>
      </c>
    </row>
    <row r="183" spans="1:12" ht="15" customHeight="1" x14ac:dyDescent="0.25">
      <c r="A183" s="395" t="s">
        <v>390</v>
      </c>
      <c r="B183" s="397" t="s">
        <v>59</v>
      </c>
      <c r="C183" s="397" t="s">
        <v>404</v>
      </c>
      <c r="D183" s="397" t="s">
        <v>60</v>
      </c>
      <c r="E183" s="397" t="s">
        <v>393</v>
      </c>
      <c r="F183" s="398" t="s">
        <v>394</v>
      </c>
      <c r="G183" s="399" t="s">
        <v>360</v>
      </c>
      <c r="H183" s="399" t="s">
        <v>361</v>
      </c>
      <c r="I183" s="398" t="s">
        <v>17</v>
      </c>
      <c r="J183" s="398" t="s">
        <v>17</v>
      </c>
      <c r="K183" s="400"/>
    </row>
    <row r="184" spans="1:12" x14ac:dyDescent="0.25">
      <c r="A184" s="395" t="s">
        <v>390</v>
      </c>
      <c r="B184" s="397"/>
      <c r="C184" s="397"/>
      <c r="D184" s="397"/>
      <c r="E184" s="397"/>
      <c r="F184" s="398" t="s">
        <v>395</v>
      </c>
      <c r="G184" s="399"/>
      <c r="H184" s="399"/>
      <c r="I184" s="398" t="s">
        <v>396</v>
      </c>
      <c r="J184" s="398" t="s">
        <v>397</v>
      </c>
      <c r="K184" s="400"/>
    </row>
    <row r="185" spans="1:12" x14ac:dyDescent="0.25">
      <c r="A185" s="395" t="s">
        <v>390</v>
      </c>
      <c r="B185" s="397"/>
      <c r="C185" s="397"/>
      <c r="D185" s="397"/>
      <c r="E185" s="397"/>
      <c r="F185" s="401"/>
      <c r="G185" s="399"/>
      <c r="H185" s="399"/>
      <c r="I185" s="401"/>
      <c r="J185" s="398" t="s">
        <v>398</v>
      </c>
      <c r="K185" s="402"/>
    </row>
    <row r="186" spans="1:12" x14ac:dyDescent="0.25">
      <c r="A186" s="395" t="s">
        <v>390</v>
      </c>
      <c r="B186" s="403" t="s">
        <v>162</v>
      </c>
      <c r="C186" s="403" t="s">
        <v>420</v>
      </c>
      <c r="D186" s="404"/>
      <c r="E186" s="403"/>
      <c r="F186" s="413">
        <v>1</v>
      </c>
      <c r="G186" s="403"/>
      <c r="H186" s="403"/>
      <c r="I186" s="406"/>
      <c r="J186" s="403"/>
      <c r="K186" s="402"/>
    </row>
    <row r="187" spans="1:12" x14ac:dyDescent="0.25">
      <c r="A187" s="395" t="s">
        <v>390</v>
      </c>
      <c r="B187" s="403"/>
      <c r="C187" s="403" t="s">
        <v>163</v>
      </c>
      <c r="D187" s="404"/>
      <c r="E187" s="407"/>
      <c r="F187" s="403"/>
      <c r="G187" s="407"/>
      <c r="H187" s="403"/>
      <c r="I187" s="403"/>
      <c r="J187" s="408">
        <v>77100</v>
      </c>
      <c r="K187" s="402"/>
    </row>
    <row r="188" spans="1:12" ht="15.75" customHeight="1" x14ac:dyDescent="0.25">
      <c r="A188" s="395" t="s">
        <v>390</v>
      </c>
      <c r="B188" s="409" t="s">
        <v>164</v>
      </c>
      <c r="C188" s="410" t="s">
        <v>421</v>
      </c>
      <c r="D188" s="397" t="s">
        <v>215</v>
      </c>
      <c r="E188" s="421" t="s">
        <v>165</v>
      </c>
      <c r="F188" s="412">
        <v>3.7999999999999999E-2</v>
      </c>
      <c r="G188" s="403" t="s">
        <v>25</v>
      </c>
      <c r="H188" s="413">
        <v>0.15</v>
      </c>
      <c r="I188" s="414">
        <v>435</v>
      </c>
      <c r="J188" s="415">
        <v>2900</v>
      </c>
      <c r="K188" s="402"/>
    </row>
    <row r="189" spans="1:12" x14ac:dyDescent="0.25">
      <c r="A189" s="395" t="s">
        <v>390</v>
      </c>
      <c r="B189" s="409"/>
      <c r="C189" s="410"/>
      <c r="D189" s="397"/>
      <c r="E189" s="421"/>
      <c r="F189" s="412"/>
      <c r="G189" s="403" t="s">
        <v>26</v>
      </c>
      <c r="H189" s="413">
        <v>0.1</v>
      </c>
      <c r="I189" s="414">
        <v>290</v>
      </c>
      <c r="J189" s="415"/>
      <c r="K189" s="402"/>
    </row>
    <row r="190" spans="1:12" x14ac:dyDescent="0.25">
      <c r="A190" s="395" t="s">
        <v>390</v>
      </c>
      <c r="B190" s="409"/>
      <c r="C190" s="410"/>
      <c r="D190" s="397"/>
      <c r="E190" s="421"/>
      <c r="F190" s="412"/>
      <c r="G190" s="403" t="s">
        <v>27</v>
      </c>
      <c r="H190" s="413">
        <v>0.2</v>
      </c>
      <c r="I190" s="414">
        <v>580</v>
      </c>
      <c r="J190" s="415"/>
      <c r="K190" s="402"/>
    </row>
    <row r="191" spans="1:12" x14ac:dyDescent="0.25">
      <c r="A191" s="395" t="s">
        <v>390</v>
      </c>
      <c r="B191" s="409"/>
      <c r="C191" s="410"/>
      <c r="D191" s="397"/>
      <c r="E191" s="421"/>
      <c r="F191" s="412"/>
      <c r="G191" s="403" t="s">
        <v>57</v>
      </c>
      <c r="H191" s="413">
        <v>0.05</v>
      </c>
      <c r="I191" s="414">
        <v>145</v>
      </c>
      <c r="J191" s="415"/>
      <c r="K191" s="402"/>
    </row>
    <row r="192" spans="1:12" x14ac:dyDescent="0.25">
      <c r="A192" s="395" t="s">
        <v>390</v>
      </c>
      <c r="B192" s="409"/>
      <c r="C192" s="410"/>
      <c r="D192" s="397"/>
      <c r="E192" s="421"/>
      <c r="F192" s="412"/>
      <c r="G192" s="403" t="s">
        <v>364</v>
      </c>
      <c r="H192" s="413">
        <v>0.5</v>
      </c>
      <c r="I192" s="416">
        <v>1450</v>
      </c>
      <c r="J192" s="415"/>
      <c r="K192" s="402"/>
    </row>
    <row r="193" spans="1:11" ht="15.75" customHeight="1" x14ac:dyDescent="0.25">
      <c r="A193" s="395" t="s">
        <v>390</v>
      </c>
      <c r="B193" s="409" t="s">
        <v>166</v>
      </c>
      <c r="C193" s="410" t="s">
        <v>421</v>
      </c>
      <c r="D193" s="397" t="s">
        <v>215</v>
      </c>
      <c r="E193" s="421" t="s">
        <v>422</v>
      </c>
      <c r="F193" s="412">
        <v>4.3999999999999997E-2</v>
      </c>
      <c r="G193" s="403" t="s">
        <v>25</v>
      </c>
      <c r="H193" s="413">
        <v>0.15</v>
      </c>
      <c r="I193" s="414">
        <v>510</v>
      </c>
      <c r="J193" s="415">
        <v>3400</v>
      </c>
      <c r="K193" s="402"/>
    </row>
    <row r="194" spans="1:11" x14ac:dyDescent="0.25">
      <c r="A194" s="395" t="s">
        <v>390</v>
      </c>
      <c r="B194" s="409"/>
      <c r="C194" s="410"/>
      <c r="D194" s="397"/>
      <c r="E194" s="421"/>
      <c r="F194" s="412"/>
      <c r="G194" s="403" t="s">
        <v>26</v>
      </c>
      <c r="H194" s="413">
        <v>0.1</v>
      </c>
      <c r="I194" s="414">
        <v>340</v>
      </c>
      <c r="J194" s="415"/>
      <c r="K194" s="402"/>
    </row>
    <row r="195" spans="1:11" x14ac:dyDescent="0.25">
      <c r="A195" s="395" t="s">
        <v>390</v>
      </c>
      <c r="B195" s="409"/>
      <c r="C195" s="410"/>
      <c r="D195" s="397"/>
      <c r="E195" s="421"/>
      <c r="F195" s="412"/>
      <c r="G195" s="403" t="s">
        <v>27</v>
      </c>
      <c r="H195" s="413">
        <v>0.2</v>
      </c>
      <c r="I195" s="414">
        <v>680</v>
      </c>
      <c r="J195" s="415"/>
      <c r="K195" s="402"/>
    </row>
    <row r="196" spans="1:11" x14ac:dyDescent="0.25">
      <c r="A196" s="395" t="s">
        <v>390</v>
      </c>
      <c r="B196" s="409"/>
      <c r="C196" s="410"/>
      <c r="D196" s="397"/>
      <c r="E196" s="421"/>
      <c r="F196" s="412"/>
      <c r="G196" s="403" t="s">
        <v>57</v>
      </c>
      <c r="H196" s="413">
        <v>0.05</v>
      </c>
      <c r="I196" s="414">
        <v>170</v>
      </c>
      <c r="J196" s="415"/>
      <c r="K196" s="402"/>
    </row>
    <row r="197" spans="1:11" x14ac:dyDescent="0.25">
      <c r="A197" s="395" t="s">
        <v>390</v>
      </c>
      <c r="B197" s="409"/>
      <c r="C197" s="410"/>
      <c r="D197" s="397"/>
      <c r="E197" s="421"/>
      <c r="F197" s="412"/>
      <c r="G197" s="403" t="s">
        <v>364</v>
      </c>
      <c r="H197" s="413">
        <v>0.5</v>
      </c>
      <c r="I197" s="416">
        <v>1700</v>
      </c>
      <c r="J197" s="415"/>
      <c r="K197" s="402"/>
    </row>
    <row r="198" spans="1:11" ht="15.75" customHeight="1" x14ac:dyDescent="0.25">
      <c r="A198" s="395" t="s">
        <v>390</v>
      </c>
      <c r="B198" s="409" t="s">
        <v>168</v>
      </c>
      <c r="C198" s="410" t="s">
        <v>421</v>
      </c>
      <c r="D198" s="397" t="s">
        <v>215</v>
      </c>
      <c r="E198" s="421" t="s">
        <v>169</v>
      </c>
      <c r="F198" s="412">
        <v>0.23499999999999999</v>
      </c>
      <c r="G198" s="403" t="s">
        <v>25</v>
      </c>
      <c r="H198" s="413">
        <v>0.15</v>
      </c>
      <c r="I198" s="416">
        <v>2715</v>
      </c>
      <c r="J198" s="415">
        <v>18100</v>
      </c>
      <c r="K198" s="402"/>
    </row>
    <row r="199" spans="1:11" x14ac:dyDescent="0.25">
      <c r="A199" s="395" t="s">
        <v>390</v>
      </c>
      <c r="B199" s="409"/>
      <c r="C199" s="410"/>
      <c r="D199" s="397"/>
      <c r="E199" s="421"/>
      <c r="F199" s="412"/>
      <c r="G199" s="403" t="s">
        <v>26</v>
      </c>
      <c r="H199" s="413">
        <v>0.1</v>
      </c>
      <c r="I199" s="416">
        <v>1810</v>
      </c>
      <c r="J199" s="415"/>
      <c r="K199" s="402"/>
    </row>
    <row r="200" spans="1:11" x14ac:dyDescent="0.25">
      <c r="A200" s="395" t="s">
        <v>390</v>
      </c>
      <c r="B200" s="409"/>
      <c r="C200" s="410"/>
      <c r="D200" s="397"/>
      <c r="E200" s="421"/>
      <c r="F200" s="412"/>
      <c r="G200" s="403" t="s">
        <v>27</v>
      </c>
      <c r="H200" s="413">
        <v>0.2</v>
      </c>
      <c r="I200" s="416">
        <v>3620</v>
      </c>
      <c r="J200" s="415"/>
      <c r="K200" s="402"/>
    </row>
    <row r="201" spans="1:11" x14ac:dyDescent="0.25">
      <c r="A201" s="395" t="s">
        <v>390</v>
      </c>
      <c r="B201" s="409"/>
      <c r="C201" s="410"/>
      <c r="D201" s="397"/>
      <c r="E201" s="421"/>
      <c r="F201" s="412"/>
      <c r="G201" s="403" t="s">
        <v>57</v>
      </c>
      <c r="H201" s="413">
        <v>0.05</v>
      </c>
      <c r="I201" s="414">
        <v>905</v>
      </c>
      <c r="J201" s="415"/>
      <c r="K201" s="402"/>
    </row>
    <row r="202" spans="1:11" x14ac:dyDescent="0.25">
      <c r="A202" s="395" t="s">
        <v>390</v>
      </c>
      <c r="B202" s="409"/>
      <c r="C202" s="410"/>
      <c r="D202" s="397"/>
      <c r="E202" s="421"/>
      <c r="F202" s="412"/>
      <c r="G202" s="403" t="s">
        <v>364</v>
      </c>
      <c r="H202" s="413">
        <v>0.5</v>
      </c>
      <c r="I202" s="416">
        <v>9050</v>
      </c>
      <c r="J202" s="415"/>
      <c r="K202" s="402"/>
    </row>
    <row r="203" spans="1:11" ht="15.75" customHeight="1" x14ac:dyDescent="0.25">
      <c r="A203" s="395" t="s">
        <v>390</v>
      </c>
      <c r="B203" s="409" t="s">
        <v>170</v>
      </c>
      <c r="C203" s="410" t="s">
        <v>421</v>
      </c>
      <c r="D203" s="397" t="s">
        <v>215</v>
      </c>
      <c r="E203" s="421" t="s">
        <v>171</v>
      </c>
      <c r="F203" s="412">
        <v>6.6000000000000003E-2</v>
      </c>
      <c r="G203" s="403" t="s">
        <v>25</v>
      </c>
      <c r="H203" s="413">
        <v>0.15</v>
      </c>
      <c r="I203" s="414">
        <v>765</v>
      </c>
      <c r="J203" s="415">
        <v>5100</v>
      </c>
      <c r="K203" s="402"/>
    </row>
    <row r="204" spans="1:11" x14ac:dyDescent="0.25">
      <c r="A204" s="395" t="s">
        <v>390</v>
      </c>
      <c r="B204" s="409"/>
      <c r="C204" s="410"/>
      <c r="D204" s="397"/>
      <c r="E204" s="421"/>
      <c r="F204" s="412"/>
      <c r="G204" s="403" t="s">
        <v>26</v>
      </c>
      <c r="H204" s="413">
        <v>0.1</v>
      </c>
      <c r="I204" s="414">
        <v>510</v>
      </c>
      <c r="J204" s="415"/>
      <c r="K204" s="402"/>
    </row>
    <row r="205" spans="1:11" x14ac:dyDescent="0.25">
      <c r="A205" s="395" t="s">
        <v>390</v>
      </c>
      <c r="B205" s="409"/>
      <c r="C205" s="410"/>
      <c r="D205" s="397"/>
      <c r="E205" s="421"/>
      <c r="F205" s="412"/>
      <c r="G205" s="403" t="s">
        <v>27</v>
      </c>
      <c r="H205" s="413">
        <v>0.2</v>
      </c>
      <c r="I205" s="416">
        <v>1020</v>
      </c>
      <c r="J205" s="415"/>
      <c r="K205" s="402"/>
    </row>
    <row r="206" spans="1:11" x14ac:dyDescent="0.25">
      <c r="A206" s="395" t="s">
        <v>390</v>
      </c>
      <c r="B206" s="409"/>
      <c r="C206" s="410"/>
      <c r="D206" s="397"/>
      <c r="E206" s="421"/>
      <c r="F206" s="412"/>
      <c r="G206" s="403" t="s">
        <v>57</v>
      </c>
      <c r="H206" s="413">
        <v>0.05</v>
      </c>
      <c r="I206" s="414">
        <v>255</v>
      </c>
      <c r="J206" s="415"/>
      <c r="K206" s="402"/>
    </row>
    <row r="207" spans="1:11" x14ac:dyDescent="0.25">
      <c r="A207" s="395" t="s">
        <v>390</v>
      </c>
      <c r="B207" s="409"/>
      <c r="C207" s="410"/>
      <c r="D207" s="397"/>
      <c r="E207" s="421"/>
      <c r="F207" s="412"/>
      <c r="G207" s="403" t="s">
        <v>364</v>
      </c>
      <c r="H207" s="413">
        <v>0.5</v>
      </c>
      <c r="I207" s="416">
        <v>2550</v>
      </c>
      <c r="J207" s="415"/>
      <c r="K207" s="402"/>
    </row>
    <row r="208" spans="1:11" ht="15.75" customHeight="1" x14ac:dyDescent="0.25">
      <c r="A208" s="395" t="s">
        <v>390</v>
      </c>
      <c r="B208" s="409" t="s">
        <v>172</v>
      </c>
      <c r="C208" s="410" t="s">
        <v>421</v>
      </c>
      <c r="D208" s="397" t="s">
        <v>215</v>
      </c>
      <c r="E208" s="421" t="s">
        <v>173</v>
      </c>
      <c r="F208" s="412">
        <v>0.22</v>
      </c>
      <c r="G208" s="403" t="s">
        <v>25</v>
      </c>
      <c r="H208" s="413">
        <v>0.15</v>
      </c>
      <c r="I208" s="416">
        <v>2550</v>
      </c>
      <c r="J208" s="415">
        <v>17000</v>
      </c>
      <c r="K208" s="402"/>
    </row>
    <row r="209" spans="1:11" x14ac:dyDescent="0.25">
      <c r="A209" s="395" t="s">
        <v>390</v>
      </c>
      <c r="B209" s="409"/>
      <c r="C209" s="410"/>
      <c r="D209" s="397"/>
      <c r="E209" s="421"/>
      <c r="F209" s="412"/>
      <c r="G209" s="403" t="s">
        <v>26</v>
      </c>
      <c r="H209" s="413">
        <v>0.1</v>
      </c>
      <c r="I209" s="416">
        <v>1700</v>
      </c>
      <c r="J209" s="415"/>
      <c r="K209" s="402"/>
    </row>
    <row r="210" spans="1:11" x14ac:dyDescent="0.25">
      <c r="A210" s="395" t="s">
        <v>390</v>
      </c>
      <c r="B210" s="409"/>
      <c r="C210" s="410"/>
      <c r="D210" s="397"/>
      <c r="E210" s="421"/>
      <c r="F210" s="412"/>
      <c r="G210" s="403" t="s">
        <v>27</v>
      </c>
      <c r="H210" s="413">
        <v>0.2</v>
      </c>
      <c r="I210" s="416">
        <v>3400</v>
      </c>
      <c r="J210" s="415"/>
      <c r="K210" s="402"/>
    </row>
    <row r="211" spans="1:11" x14ac:dyDescent="0.25">
      <c r="A211" s="395" t="s">
        <v>390</v>
      </c>
      <c r="B211" s="409"/>
      <c r="C211" s="410"/>
      <c r="D211" s="397"/>
      <c r="E211" s="421"/>
      <c r="F211" s="412"/>
      <c r="G211" s="403" t="s">
        <v>57</v>
      </c>
      <c r="H211" s="413">
        <v>0.05</v>
      </c>
      <c r="I211" s="414">
        <v>850</v>
      </c>
      <c r="J211" s="415"/>
      <c r="K211" s="402"/>
    </row>
    <row r="212" spans="1:11" x14ac:dyDescent="0.25">
      <c r="A212" s="395" t="s">
        <v>390</v>
      </c>
      <c r="B212" s="409"/>
      <c r="C212" s="410"/>
      <c r="D212" s="397"/>
      <c r="E212" s="421"/>
      <c r="F212" s="412"/>
      <c r="G212" s="403" t="s">
        <v>364</v>
      </c>
      <c r="H212" s="413">
        <v>0.5</v>
      </c>
      <c r="I212" s="416">
        <v>8500</v>
      </c>
      <c r="J212" s="415"/>
      <c r="K212" s="402"/>
    </row>
    <row r="213" spans="1:11" ht="15.75" customHeight="1" x14ac:dyDescent="0.25">
      <c r="A213" s="395" t="s">
        <v>390</v>
      </c>
      <c r="B213" s="409" t="s">
        <v>174</v>
      </c>
      <c r="C213" s="410" t="s">
        <v>421</v>
      </c>
      <c r="D213" s="397" t="s">
        <v>215</v>
      </c>
      <c r="E213" s="421" t="s">
        <v>175</v>
      </c>
      <c r="F213" s="412">
        <v>2.7E-2</v>
      </c>
      <c r="G213" s="403" t="s">
        <v>25</v>
      </c>
      <c r="H213" s="413">
        <v>0.15</v>
      </c>
      <c r="I213" s="414">
        <v>315</v>
      </c>
      <c r="J213" s="415">
        <v>2100</v>
      </c>
      <c r="K213" s="402"/>
    </row>
    <row r="214" spans="1:11" x14ac:dyDescent="0.25">
      <c r="A214" s="395" t="s">
        <v>390</v>
      </c>
      <c r="B214" s="409"/>
      <c r="C214" s="410"/>
      <c r="D214" s="397"/>
      <c r="E214" s="421"/>
      <c r="F214" s="412"/>
      <c r="G214" s="403" t="s">
        <v>26</v>
      </c>
      <c r="H214" s="413">
        <v>0.1</v>
      </c>
      <c r="I214" s="414">
        <v>210</v>
      </c>
      <c r="J214" s="415"/>
      <c r="K214" s="402"/>
    </row>
    <row r="215" spans="1:11" x14ac:dyDescent="0.25">
      <c r="A215" s="395" t="s">
        <v>390</v>
      </c>
      <c r="B215" s="409"/>
      <c r="C215" s="410"/>
      <c r="D215" s="397"/>
      <c r="E215" s="421"/>
      <c r="F215" s="412"/>
      <c r="G215" s="403" t="s">
        <v>27</v>
      </c>
      <c r="H215" s="413">
        <v>0.2</v>
      </c>
      <c r="I215" s="414">
        <v>420</v>
      </c>
      <c r="J215" s="415"/>
      <c r="K215" s="402"/>
    </row>
    <row r="216" spans="1:11" x14ac:dyDescent="0.25">
      <c r="A216" s="395" t="s">
        <v>390</v>
      </c>
      <c r="B216" s="409"/>
      <c r="C216" s="410"/>
      <c r="D216" s="397"/>
      <c r="E216" s="421"/>
      <c r="F216" s="412"/>
      <c r="G216" s="403" t="s">
        <v>57</v>
      </c>
      <c r="H216" s="413">
        <v>0.05</v>
      </c>
      <c r="I216" s="414">
        <v>105</v>
      </c>
      <c r="J216" s="415"/>
      <c r="K216" s="402"/>
    </row>
    <row r="217" spans="1:11" x14ac:dyDescent="0.25">
      <c r="A217" s="395" t="s">
        <v>390</v>
      </c>
      <c r="B217" s="409"/>
      <c r="C217" s="410"/>
      <c r="D217" s="397"/>
      <c r="E217" s="421"/>
      <c r="F217" s="412"/>
      <c r="G217" s="403" t="s">
        <v>364</v>
      </c>
      <c r="H217" s="413">
        <v>0.5</v>
      </c>
      <c r="I217" s="416">
        <v>1050</v>
      </c>
      <c r="J217" s="415"/>
      <c r="K217" s="402"/>
    </row>
    <row r="218" spans="1:11" ht="15.75" customHeight="1" x14ac:dyDescent="0.25">
      <c r="A218" s="395" t="s">
        <v>390</v>
      </c>
      <c r="B218" s="409" t="s">
        <v>176</v>
      </c>
      <c r="C218" s="410" t="s">
        <v>421</v>
      </c>
      <c r="D218" s="397" t="s">
        <v>215</v>
      </c>
      <c r="E218" s="421" t="s">
        <v>177</v>
      </c>
      <c r="F218" s="412">
        <v>3.4000000000000002E-2</v>
      </c>
      <c r="G218" s="403" t="s">
        <v>25</v>
      </c>
      <c r="H218" s="413">
        <v>0.15</v>
      </c>
      <c r="I218" s="414">
        <v>390</v>
      </c>
      <c r="J218" s="415">
        <v>2600</v>
      </c>
      <c r="K218" s="402"/>
    </row>
    <row r="219" spans="1:11" x14ac:dyDescent="0.25">
      <c r="A219" s="395" t="s">
        <v>390</v>
      </c>
      <c r="B219" s="409"/>
      <c r="C219" s="410"/>
      <c r="D219" s="397"/>
      <c r="E219" s="421"/>
      <c r="F219" s="412"/>
      <c r="G219" s="403" t="s">
        <v>26</v>
      </c>
      <c r="H219" s="413">
        <v>0.1</v>
      </c>
      <c r="I219" s="414">
        <v>260</v>
      </c>
      <c r="J219" s="415"/>
      <c r="K219" s="402"/>
    </row>
    <row r="220" spans="1:11" x14ac:dyDescent="0.25">
      <c r="A220" s="395" t="s">
        <v>390</v>
      </c>
      <c r="B220" s="409"/>
      <c r="C220" s="410"/>
      <c r="D220" s="397"/>
      <c r="E220" s="421"/>
      <c r="F220" s="412"/>
      <c r="G220" s="403" t="s">
        <v>27</v>
      </c>
      <c r="H220" s="413">
        <v>0.2</v>
      </c>
      <c r="I220" s="414">
        <v>520</v>
      </c>
      <c r="J220" s="415"/>
      <c r="K220" s="402"/>
    </row>
    <row r="221" spans="1:11" x14ac:dyDescent="0.25">
      <c r="A221" s="395" t="s">
        <v>390</v>
      </c>
      <c r="B221" s="409"/>
      <c r="C221" s="410"/>
      <c r="D221" s="397"/>
      <c r="E221" s="421"/>
      <c r="F221" s="412"/>
      <c r="G221" s="403" t="s">
        <v>57</v>
      </c>
      <c r="H221" s="413">
        <v>0.05</v>
      </c>
      <c r="I221" s="414">
        <v>130</v>
      </c>
      <c r="J221" s="415"/>
      <c r="K221" s="402"/>
    </row>
    <row r="222" spans="1:11" x14ac:dyDescent="0.25">
      <c r="A222" s="395" t="s">
        <v>390</v>
      </c>
      <c r="B222" s="409"/>
      <c r="C222" s="410"/>
      <c r="D222" s="397"/>
      <c r="E222" s="421"/>
      <c r="F222" s="412"/>
      <c r="G222" s="403" t="s">
        <v>364</v>
      </c>
      <c r="H222" s="413">
        <v>0.5</v>
      </c>
      <c r="I222" s="416">
        <v>1300</v>
      </c>
      <c r="J222" s="415"/>
      <c r="K222" s="402"/>
    </row>
    <row r="223" spans="1:11" ht="15.75" customHeight="1" x14ac:dyDescent="0.25">
      <c r="A223" s="395" t="s">
        <v>390</v>
      </c>
      <c r="B223" s="409" t="s">
        <v>178</v>
      </c>
      <c r="C223" s="410" t="s">
        <v>421</v>
      </c>
      <c r="D223" s="397" t="s">
        <v>215</v>
      </c>
      <c r="E223" s="421" t="s">
        <v>179</v>
      </c>
      <c r="F223" s="412">
        <v>0.112</v>
      </c>
      <c r="G223" s="403" t="s">
        <v>25</v>
      </c>
      <c r="H223" s="413">
        <v>0.15</v>
      </c>
      <c r="I223" s="416">
        <v>1290</v>
      </c>
      <c r="J223" s="415">
        <v>8600</v>
      </c>
      <c r="K223" s="402"/>
    </row>
    <row r="224" spans="1:11" x14ac:dyDescent="0.25">
      <c r="A224" s="395" t="s">
        <v>390</v>
      </c>
      <c r="B224" s="409"/>
      <c r="C224" s="410"/>
      <c r="D224" s="397"/>
      <c r="E224" s="421"/>
      <c r="F224" s="412"/>
      <c r="G224" s="403" t="s">
        <v>26</v>
      </c>
      <c r="H224" s="413">
        <v>0.1</v>
      </c>
      <c r="I224" s="414">
        <v>860</v>
      </c>
      <c r="J224" s="415"/>
      <c r="K224" s="402"/>
    </row>
    <row r="225" spans="1:12" x14ac:dyDescent="0.25">
      <c r="A225" s="395" t="s">
        <v>390</v>
      </c>
      <c r="B225" s="409"/>
      <c r="C225" s="410"/>
      <c r="D225" s="397"/>
      <c r="E225" s="421"/>
      <c r="F225" s="412"/>
      <c r="G225" s="403" t="s">
        <v>27</v>
      </c>
      <c r="H225" s="413">
        <v>0.2</v>
      </c>
      <c r="I225" s="416">
        <v>1720</v>
      </c>
      <c r="J225" s="415"/>
      <c r="K225" s="402"/>
    </row>
    <row r="226" spans="1:12" x14ac:dyDescent="0.25">
      <c r="A226" s="395" t="s">
        <v>390</v>
      </c>
      <c r="B226" s="409"/>
      <c r="C226" s="410"/>
      <c r="D226" s="397"/>
      <c r="E226" s="421"/>
      <c r="F226" s="412"/>
      <c r="G226" s="403" t="s">
        <v>57</v>
      </c>
      <c r="H226" s="413">
        <v>0.05</v>
      </c>
      <c r="I226" s="414">
        <v>430</v>
      </c>
      <c r="J226" s="415"/>
      <c r="K226" s="402"/>
    </row>
    <row r="227" spans="1:12" x14ac:dyDescent="0.25">
      <c r="A227" s="395" t="s">
        <v>390</v>
      </c>
      <c r="B227" s="409"/>
      <c r="C227" s="410"/>
      <c r="D227" s="397"/>
      <c r="E227" s="421"/>
      <c r="F227" s="412"/>
      <c r="G227" s="403" t="s">
        <v>364</v>
      </c>
      <c r="H227" s="413">
        <v>0.5</v>
      </c>
      <c r="I227" s="416">
        <v>4300</v>
      </c>
      <c r="J227" s="415"/>
      <c r="K227" s="402"/>
    </row>
    <row r="228" spans="1:12" ht="15.75" customHeight="1" x14ac:dyDescent="0.25">
      <c r="A228" s="395" t="s">
        <v>390</v>
      </c>
      <c r="B228" s="409" t="s">
        <v>180</v>
      </c>
      <c r="C228" s="410" t="s">
        <v>421</v>
      </c>
      <c r="D228" s="397" t="s">
        <v>215</v>
      </c>
      <c r="E228" s="421" t="s">
        <v>181</v>
      </c>
      <c r="F228" s="412">
        <v>0.224</v>
      </c>
      <c r="G228" s="403" t="s">
        <v>25</v>
      </c>
      <c r="H228" s="413">
        <v>0.15</v>
      </c>
      <c r="I228" s="416">
        <v>2595</v>
      </c>
      <c r="J228" s="415">
        <v>17300</v>
      </c>
      <c r="K228" s="402"/>
    </row>
    <row r="229" spans="1:12" x14ac:dyDescent="0.25">
      <c r="A229" s="395" t="s">
        <v>390</v>
      </c>
      <c r="B229" s="409"/>
      <c r="C229" s="410"/>
      <c r="D229" s="397"/>
      <c r="E229" s="421"/>
      <c r="F229" s="412"/>
      <c r="G229" s="403" t="s">
        <v>26</v>
      </c>
      <c r="H229" s="413">
        <v>0.1</v>
      </c>
      <c r="I229" s="416">
        <v>1730</v>
      </c>
      <c r="J229" s="415"/>
      <c r="K229" s="402"/>
    </row>
    <row r="230" spans="1:12" x14ac:dyDescent="0.25">
      <c r="A230" s="395" t="s">
        <v>390</v>
      </c>
      <c r="B230" s="409"/>
      <c r="C230" s="410"/>
      <c r="D230" s="397"/>
      <c r="E230" s="421"/>
      <c r="F230" s="412"/>
      <c r="G230" s="403" t="s">
        <v>27</v>
      </c>
      <c r="H230" s="413">
        <v>0.2</v>
      </c>
      <c r="I230" s="416">
        <v>3460</v>
      </c>
      <c r="J230" s="415"/>
      <c r="K230" s="402"/>
    </row>
    <row r="231" spans="1:12" x14ac:dyDescent="0.25">
      <c r="A231" s="395" t="s">
        <v>390</v>
      </c>
      <c r="B231" s="409"/>
      <c r="C231" s="410"/>
      <c r="D231" s="397"/>
      <c r="E231" s="421"/>
      <c r="F231" s="412"/>
      <c r="G231" s="403" t="s">
        <v>57</v>
      </c>
      <c r="H231" s="413">
        <v>0.05</v>
      </c>
      <c r="I231" s="414">
        <v>865</v>
      </c>
      <c r="J231" s="415"/>
      <c r="K231" s="402"/>
    </row>
    <row r="232" spans="1:12" x14ac:dyDescent="0.25">
      <c r="A232" s="395" t="s">
        <v>390</v>
      </c>
      <c r="B232" s="409"/>
      <c r="C232" s="410"/>
      <c r="D232" s="397"/>
      <c r="E232" s="421"/>
      <c r="F232" s="412"/>
      <c r="G232" s="403" t="s">
        <v>364</v>
      </c>
      <c r="H232" s="413">
        <v>0.5</v>
      </c>
      <c r="I232" s="416">
        <v>8650</v>
      </c>
      <c r="J232" s="415"/>
      <c r="K232" s="402"/>
      <c r="L232" s="420">
        <f>+SUM(F188:F232)</f>
        <v>1</v>
      </c>
    </row>
    <row r="233" spans="1:12" ht="15" customHeight="1" x14ac:dyDescent="0.25">
      <c r="A233" s="395" t="s">
        <v>390</v>
      </c>
      <c r="B233" s="397" t="s">
        <v>59</v>
      </c>
      <c r="C233" s="397" t="s">
        <v>404</v>
      </c>
      <c r="D233" s="397" t="s">
        <v>60</v>
      </c>
      <c r="E233" s="397" t="s">
        <v>393</v>
      </c>
      <c r="F233" s="398" t="s">
        <v>394</v>
      </c>
      <c r="G233" s="399" t="s">
        <v>360</v>
      </c>
      <c r="H233" s="399" t="s">
        <v>361</v>
      </c>
      <c r="I233" s="398" t="s">
        <v>17</v>
      </c>
      <c r="J233" s="398" t="s">
        <v>17</v>
      </c>
      <c r="K233" s="400"/>
    </row>
    <row r="234" spans="1:12" x14ac:dyDescent="0.25">
      <c r="A234" s="395" t="s">
        <v>390</v>
      </c>
      <c r="B234" s="397"/>
      <c r="C234" s="397"/>
      <c r="D234" s="397"/>
      <c r="E234" s="397"/>
      <c r="F234" s="398" t="s">
        <v>395</v>
      </c>
      <c r="G234" s="399"/>
      <c r="H234" s="399"/>
      <c r="I234" s="398" t="s">
        <v>396</v>
      </c>
      <c r="J234" s="398" t="s">
        <v>397</v>
      </c>
      <c r="K234" s="400"/>
    </row>
    <row r="235" spans="1:12" x14ac:dyDescent="0.25">
      <c r="A235" s="395" t="s">
        <v>390</v>
      </c>
      <c r="B235" s="397"/>
      <c r="C235" s="397"/>
      <c r="D235" s="397"/>
      <c r="E235" s="397"/>
      <c r="F235" s="401"/>
      <c r="G235" s="399"/>
      <c r="H235" s="399"/>
      <c r="I235" s="401"/>
      <c r="J235" s="398" t="s">
        <v>398</v>
      </c>
      <c r="K235" s="402"/>
    </row>
    <row r="236" spans="1:12" x14ac:dyDescent="0.25">
      <c r="A236" s="395" t="s">
        <v>390</v>
      </c>
      <c r="B236" s="403" t="s">
        <v>182</v>
      </c>
      <c r="C236" s="403" t="s">
        <v>362</v>
      </c>
      <c r="D236" s="404"/>
      <c r="E236" s="403"/>
      <c r="F236" s="414" t="s">
        <v>578</v>
      </c>
      <c r="G236" s="403"/>
      <c r="H236" s="403"/>
      <c r="I236" s="406"/>
      <c r="J236" s="403"/>
      <c r="K236" s="402"/>
    </row>
    <row r="237" spans="1:12" x14ac:dyDescent="0.25">
      <c r="A237" s="395" t="s">
        <v>390</v>
      </c>
      <c r="B237" s="403"/>
      <c r="C237" s="403" t="s">
        <v>163</v>
      </c>
      <c r="D237" s="404"/>
      <c r="E237" s="407"/>
      <c r="F237" s="403"/>
      <c r="G237" s="407"/>
      <c r="H237" s="403"/>
      <c r="I237" s="403"/>
      <c r="J237" s="408">
        <v>44800</v>
      </c>
      <c r="K237" s="402"/>
    </row>
    <row r="238" spans="1:12" ht="15.75" customHeight="1" x14ac:dyDescent="0.25">
      <c r="A238" s="395" t="s">
        <v>390</v>
      </c>
      <c r="B238" s="409" t="s">
        <v>183</v>
      </c>
      <c r="C238" s="410" t="s">
        <v>423</v>
      </c>
      <c r="D238" s="397" t="s">
        <v>215</v>
      </c>
      <c r="E238" s="411" t="s">
        <v>184</v>
      </c>
      <c r="F238" s="422">
        <v>0.35499999999999998</v>
      </c>
      <c r="G238" s="403" t="s">
        <v>25</v>
      </c>
      <c r="H238" s="413">
        <v>0.15</v>
      </c>
      <c r="I238" s="416">
        <v>2385</v>
      </c>
      <c r="J238" s="415">
        <v>15900</v>
      </c>
      <c r="K238" s="402"/>
    </row>
    <row r="239" spans="1:12" x14ac:dyDescent="0.25">
      <c r="A239" s="395" t="s">
        <v>390</v>
      </c>
      <c r="B239" s="409"/>
      <c r="C239" s="410"/>
      <c r="D239" s="397"/>
      <c r="E239" s="411"/>
      <c r="F239" s="422"/>
      <c r="G239" s="403" t="s">
        <v>26</v>
      </c>
      <c r="H239" s="413">
        <v>0.1</v>
      </c>
      <c r="I239" s="416">
        <v>1590</v>
      </c>
      <c r="J239" s="415"/>
      <c r="K239" s="402"/>
    </row>
    <row r="240" spans="1:12" x14ac:dyDescent="0.25">
      <c r="A240" s="395" t="s">
        <v>390</v>
      </c>
      <c r="B240" s="409"/>
      <c r="C240" s="410"/>
      <c r="D240" s="397"/>
      <c r="E240" s="411"/>
      <c r="F240" s="422"/>
      <c r="G240" s="403" t="s">
        <v>27</v>
      </c>
      <c r="H240" s="413">
        <v>0.2</v>
      </c>
      <c r="I240" s="416">
        <v>3180</v>
      </c>
      <c r="J240" s="415"/>
      <c r="K240" s="402"/>
    </row>
    <row r="241" spans="1:11" x14ac:dyDescent="0.25">
      <c r="A241" s="395" t="s">
        <v>390</v>
      </c>
      <c r="B241" s="409"/>
      <c r="C241" s="410"/>
      <c r="D241" s="397"/>
      <c r="E241" s="411"/>
      <c r="F241" s="422"/>
      <c r="G241" s="403" t="s">
        <v>57</v>
      </c>
      <c r="H241" s="413">
        <v>0.05</v>
      </c>
      <c r="I241" s="414">
        <v>795</v>
      </c>
      <c r="J241" s="415"/>
      <c r="K241" s="402"/>
    </row>
    <row r="242" spans="1:11" x14ac:dyDescent="0.25">
      <c r="A242" s="395" t="s">
        <v>390</v>
      </c>
      <c r="B242" s="409"/>
      <c r="C242" s="410"/>
      <c r="D242" s="397"/>
      <c r="E242" s="411"/>
      <c r="F242" s="422"/>
      <c r="G242" s="403" t="s">
        <v>364</v>
      </c>
      <c r="H242" s="413">
        <v>0.5</v>
      </c>
      <c r="I242" s="416">
        <v>7950</v>
      </c>
      <c r="J242" s="415"/>
      <c r="K242" s="402"/>
    </row>
    <row r="243" spans="1:11" ht="15.75" customHeight="1" x14ac:dyDescent="0.25">
      <c r="A243" s="395" t="s">
        <v>390</v>
      </c>
      <c r="B243" s="409" t="s">
        <v>185</v>
      </c>
      <c r="C243" s="410" t="s">
        <v>423</v>
      </c>
      <c r="D243" s="397" t="s">
        <v>215</v>
      </c>
      <c r="E243" s="411" t="s">
        <v>424</v>
      </c>
      <c r="F243" s="412">
        <v>0.25</v>
      </c>
      <c r="G243" s="403" t="s">
        <v>25</v>
      </c>
      <c r="H243" s="413">
        <v>0.15</v>
      </c>
      <c r="I243" s="416">
        <v>1680</v>
      </c>
      <c r="J243" s="415">
        <v>11200</v>
      </c>
      <c r="K243" s="402"/>
    </row>
    <row r="244" spans="1:11" x14ac:dyDescent="0.25">
      <c r="A244" s="395" t="s">
        <v>390</v>
      </c>
      <c r="B244" s="409"/>
      <c r="C244" s="410"/>
      <c r="D244" s="397"/>
      <c r="E244" s="411"/>
      <c r="F244" s="412"/>
      <c r="G244" s="403" t="s">
        <v>26</v>
      </c>
      <c r="H244" s="413">
        <v>0.1</v>
      </c>
      <c r="I244" s="416">
        <v>1120</v>
      </c>
      <c r="J244" s="415"/>
      <c r="K244" s="402"/>
    </row>
    <row r="245" spans="1:11" x14ac:dyDescent="0.25">
      <c r="A245" s="395" t="s">
        <v>390</v>
      </c>
      <c r="B245" s="409"/>
      <c r="C245" s="410"/>
      <c r="D245" s="397"/>
      <c r="E245" s="411"/>
      <c r="F245" s="412"/>
      <c r="G245" s="403" t="s">
        <v>27</v>
      </c>
      <c r="H245" s="413">
        <v>0.2</v>
      </c>
      <c r="I245" s="416">
        <v>2240</v>
      </c>
      <c r="J245" s="415"/>
      <c r="K245" s="402"/>
    </row>
    <row r="246" spans="1:11" x14ac:dyDescent="0.25">
      <c r="A246" s="395" t="s">
        <v>390</v>
      </c>
      <c r="B246" s="409"/>
      <c r="C246" s="410"/>
      <c r="D246" s="397"/>
      <c r="E246" s="411"/>
      <c r="F246" s="412"/>
      <c r="G246" s="403" t="s">
        <v>57</v>
      </c>
      <c r="H246" s="413">
        <v>0.05</v>
      </c>
      <c r="I246" s="414">
        <v>560</v>
      </c>
      <c r="J246" s="415"/>
      <c r="K246" s="402"/>
    </row>
    <row r="247" spans="1:11" x14ac:dyDescent="0.25">
      <c r="A247" s="395" t="s">
        <v>390</v>
      </c>
      <c r="B247" s="409"/>
      <c r="C247" s="410"/>
      <c r="D247" s="397"/>
      <c r="E247" s="411"/>
      <c r="F247" s="412"/>
      <c r="G247" s="403" t="s">
        <v>364</v>
      </c>
      <c r="H247" s="413">
        <v>0.5</v>
      </c>
      <c r="I247" s="416">
        <v>5600</v>
      </c>
      <c r="J247" s="415"/>
      <c r="K247" s="402"/>
    </row>
    <row r="248" spans="1:11" ht="15.75" customHeight="1" x14ac:dyDescent="0.25">
      <c r="A248" s="395" t="s">
        <v>390</v>
      </c>
      <c r="B248" s="409" t="s">
        <v>187</v>
      </c>
      <c r="C248" s="410" t="s">
        <v>423</v>
      </c>
      <c r="D248" s="397" t="s">
        <v>215</v>
      </c>
      <c r="E248" s="411" t="s">
        <v>188</v>
      </c>
      <c r="F248" s="412">
        <v>6.9000000000000006E-2</v>
      </c>
      <c r="G248" s="403" t="s">
        <v>25</v>
      </c>
      <c r="H248" s="413">
        <v>0.15</v>
      </c>
      <c r="I248" s="414">
        <v>465</v>
      </c>
      <c r="J248" s="415">
        <v>3100</v>
      </c>
      <c r="K248" s="402"/>
    </row>
    <row r="249" spans="1:11" x14ac:dyDescent="0.25">
      <c r="A249" s="395" t="s">
        <v>390</v>
      </c>
      <c r="B249" s="409"/>
      <c r="C249" s="410"/>
      <c r="D249" s="397"/>
      <c r="E249" s="411"/>
      <c r="F249" s="412"/>
      <c r="G249" s="403" t="s">
        <v>26</v>
      </c>
      <c r="H249" s="413">
        <v>0.1</v>
      </c>
      <c r="I249" s="414">
        <v>310</v>
      </c>
      <c r="J249" s="415"/>
      <c r="K249" s="402"/>
    </row>
    <row r="250" spans="1:11" x14ac:dyDescent="0.25">
      <c r="A250" s="395" t="s">
        <v>390</v>
      </c>
      <c r="B250" s="409"/>
      <c r="C250" s="410"/>
      <c r="D250" s="397"/>
      <c r="E250" s="411"/>
      <c r="F250" s="412"/>
      <c r="G250" s="403" t="s">
        <v>27</v>
      </c>
      <c r="H250" s="413">
        <v>0.2</v>
      </c>
      <c r="I250" s="414">
        <v>620</v>
      </c>
      <c r="J250" s="415"/>
      <c r="K250" s="402"/>
    </row>
    <row r="251" spans="1:11" x14ac:dyDescent="0.25">
      <c r="A251" s="395" t="s">
        <v>390</v>
      </c>
      <c r="B251" s="409"/>
      <c r="C251" s="410"/>
      <c r="D251" s="397"/>
      <c r="E251" s="411"/>
      <c r="F251" s="412"/>
      <c r="G251" s="403" t="s">
        <v>57</v>
      </c>
      <c r="H251" s="413">
        <v>0.05</v>
      </c>
      <c r="I251" s="414">
        <v>155</v>
      </c>
      <c r="J251" s="415"/>
      <c r="K251" s="402"/>
    </row>
    <row r="252" spans="1:11" x14ac:dyDescent="0.25">
      <c r="A252" s="395" t="s">
        <v>390</v>
      </c>
      <c r="B252" s="409"/>
      <c r="C252" s="410"/>
      <c r="D252" s="397"/>
      <c r="E252" s="411"/>
      <c r="F252" s="412"/>
      <c r="G252" s="403" t="s">
        <v>364</v>
      </c>
      <c r="H252" s="413">
        <v>0.5</v>
      </c>
      <c r="I252" s="416">
        <v>1550</v>
      </c>
      <c r="J252" s="415"/>
      <c r="K252" s="402"/>
    </row>
    <row r="253" spans="1:11" ht="15.75" customHeight="1" x14ac:dyDescent="0.25">
      <c r="A253" s="395" t="s">
        <v>390</v>
      </c>
      <c r="B253" s="409" t="s">
        <v>189</v>
      </c>
      <c r="C253" s="410" t="s">
        <v>425</v>
      </c>
      <c r="D253" s="397" t="s">
        <v>215</v>
      </c>
      <c r="E253" s="411" t="s">
        <v>190</v>
      </c>
      <c r="F253" s="412">
        <v>0.123</v>
      </c>
      <c r="G253" s="403" t="s">
        <v>25</v>
      </c>
      <c r="H253" s="413">
        <v>0.15</v>
      </c>
      <c r="I253" s="414">
        <v>825</v>
      </c>
      <c r="J253" s="415">
        <v>5500</v>
      </c>
      <c r="K253" s="402"/>
    </row>
    <row r="254" spans="1:11" x14ac:dyDescent="0.25">
      <c r="A254" s="395" t="s">
        <v>390</v>
      </c>
      <c r="B254" s="409"/>
      <c r="C254" s="410"/>
      <c r="D254" s="397"/>
      <c r="E254" s="411"/>
      <c r="F254" s="412"/>
      <c r="G254" s="403" t="s">
        <v>26</v>
      </c>
      <c r="H254" s="413">
        <v>0.1</v>
      </c>
      <c r="I254" s="414">
        <v>550</v>
      </c>
      <c r="J254" s="415"/>
      <c r="K254" s="402"/>
    </row>
    <row r="255" spans="1:11" x14ac:dyDescent="0.25">
      <c r="A255" s="395" t="s">
        <v>390</v>
      </c>
      <c r="B255" s="409"/>
      <c r="C255" s="410"/>
      <c r="D255" s="397"/>
      <c r="E255" s="411"/>
      <c r="F255" s="412"/>
      <c r="G255" s="403" t="s">
        <v>27</v>
      </c>
      <c r="H255" s="413">
        <v>0.2</v>
      </c>
      <c r="I255" s="416">
        <v>1100</v>
      </c>
      <c r="J255" s="415"/>
      <c r="K255" s="402"/>
    </row>
    <row r="256" spans="1:11" x14ac:dyDescent="0.25">
      <c r="A256" s="395" t="s">
        <v>390</v>
      </c>
      <c r="B256" s="409"/>
      <c r="C256" s="410"/>
      <c r="D256" s="397"/>
      <c r="E256" s="411"/>
      <c r="F256" s="412"/>
      <c r="G256" s="403" t="s">
        <v>57</v>
      </c>
      <c r="H256" s="413">
        <v>0.05</v>
      </c>
      <c r="I256" s="414">
        <v>275</v>
      </c>
      <c r="J256" s="415"/>
      <c r="K256" s="402"/>
    </row>
    <row r="257" spans="1:11" x14ac:dyDescent="0.25">
      <c r="A257" s="395" t="s">
        <v>390</v>
      </c>
      <c r="B257" s="409"/>
      <c r="C257" s="410"/>
      <c r="D257" s="397"/>
      <c r="E257" s="411"/>
      <c r="F257" s="412"/>
      <c r="G257" s="403" t="s">
        <v>364</v>
      </c>
      <c r="H257" s="413">
        <v>0.5</v>
      </c>
      <c r="I257" s="416">
        <v>2750</v>
      </c>
      <c r="J257" s="415"/>
      <c r="K257" s="402"/>
    </row>
    <row r="258" spans="1:11" ht="15.75" customHeight="1" x14ac:dyDescent="0.25">
      <c r="A258" s="395" t="s">
        <v>390</v>
      </c>
      <c r="B258" s="409" t="s">
        <v>191</v>
      </c>
      <c r="C258" s="410" t="s">
        <v>425</v>
      </c>
      <c r="D258" s="397" t="s">
        <v>215</v>
      </c>
      <c r="E258" s="411" t="s">
        <v>192</v>
      </c>
      <c r="F258" s="412">
        <v>0.08</v>
      </c>
      <c r="G258" s="403" t="s">
        <v>25</v>
      </c>
      <c r="H258" s="413">
        <v>0.15</v>
      </c>
      <c r="I258" s="414">
        <v>540</v>
      </c>
      <c r="J258" s="415">
        <v>3600</v>
      </c>
      <c r="K258" s="402"/>
    </row>
    <row r="259" spans="1:11" x14ac:dyDescent="0.25">
      <c r="A259" s="395" t="s">
        <v>390</v>
      </c>
      <c r="B259" s="409"/>
      <c r="C259" s="410"/>
      <c r="D259" s="397"/>
      <c r="E259" s="411"/>
      <c r="F259" s="412"/>
      <c r="G259" s="403" t="s">
        <v>26</v>
      </c>
      <c r="H259" s="413">
        <v>0.1</v>
      </c>
      <c r="I259" s="414">
        <v>360</v>
      </c>
      <c r="J259" s="415"/>
      <c r="K259" s="402"/>
    </row>
    <row r="260" spans="1:11" x14ac:dyDescent="0.25">
      <c r="A260" s="395" t="s">
        <v>390</v>
      </c>
      <c r="B260" s="409"/>
      <c r="C260" s="410"/>
      <c r="D260" s="397"/>
      <c r="E260" s="411"/>
      <c r="F260" s="412"/>
      <c r="G260" s="403" t="s">
        <v>27</v>
      </c>
      <c r="H260" s="413">
        <v>0.2</v>
      </c>
      <c r="I260" s="414">
        <v>720</v>
      </c>
      <c r="J260" s="415"/>
      <c r="K260" s="402"/>
    </row>
    <row r="261" spans="1:11" x14ac:dyDescent="0.25">
      <c r="A261" s="395" t="s">
        <v>390</v>
      </c>
      <c r="B261" s="409"/>
      <c r="C261" s="410"/>
      <c r="D261" s="397"/>
      <c r="E261" s="411"/>
      <c r="F261" s="412"/>
      <c r="G261" s="403" t="s">
        <v>57</v>
      </c>
      <c r="H261" s="413">
        <v>0.05</v>
      </c>
      <c r="I261" s="414">
        <v>180</v>
      </c>
      <c r="J261" s="415"/>
      <c r="K261" s="402"/>
    </row>
    <row r="262" spans="1:11" x14ac:dyDescent="0.25">
      <c r="A262" s="395" t="s">
        <v>390</v>
      </c>
      <c r="B262" s="409"/>
      <c r="C262" s="410"/>
      <c r="D262" s="397"/>
      <c r="E262" s="411"/>
      <c r="F262" s="412"/>
      <c r="G262" s="403" t="s">
        <v>364</v>
      </c>
      <c r="H262" s="413">
        <v>0.5</v>
      </c>
      <c r="I262" s="416">
        <v>1800</v>
      </c>
      <c r="J262" s="415"/>
      <c r="K262" s="402"/>
    </row>
    <row r="263" spans="1:11" ht="15.75" customHeight="1" x14ac:dyDescent="0.25">
      <c r="A263" s="395" t="s">
        <v>390</v>
      </c>
      <c r="B263" s="409" t="s">
        <v>193</v>
      </c>
      <c r="C263" s="410" t="s">
        <v>426</v>
      </c>
      <c r="D263" s="397" t="s">
        <v>215</v>
      </c>
      <c r="E263" s="411" t="s">
        <v>194</v>
      </c>
      <c r="F263" s="422">
        <v>0.10100000000000001</v>
      </c>
      <c r="G263" s="403" t="s">
        <v>25</v>
      </c>
      <c r="H263" s="413">
        <v>0.15</v>
      </c>
      <c r="I263" s="414">
        <v>675</v>
      </c>
      <c r="J263" s="415">
        <v>4500</v>
      </c>
      <c r="K263" s="402"/>
    </row>
    <row r="264" spans="1:11" x14ac:dyDescent="0.25">
      <c r="A264" s="395" t="s">
        <v>390</v>
      </c>
      <c r="B264" s="409"/>
      <c r="C264" s="410"/>
      <c r="D264" s="397"/>
      <c r="E264" s="411"/>
      <c r="F264" s="422"/>
      <c r="G264" s="403" t="s">
        <v>26</v>
      </c>
      <c r="H264" s="413">
        <v>0.1</v>
      </c>
      <c r="I264" s="414">
        <v>450</v>
      </c>
      <c r="J264" s="415"/>
      <c r="K264" s="402"/>
    </row>
    <row r="265" spans="1:11" x14ac:dyDescent="0.25">
      <c r="A265" s="395" t="s">
        <v>390</v>
      </c>
      <c r="B265" s="409"/>
      <c r="C265" s="410"/>
      <c r="D265" s="397"/>
      <c r="E265" s="411"/>
      <c r="F265" s="422"/>
      <c r="G265" s="403" t="s">
        <v>27</v>
      </c>
      <c r="H265" s="413">
        <v>0.2</v>
      </c>
      <c r="I265" s="414">
        <v>900</v>
      </c>
      <c r="J265" s="415"/>
      <c r="K265" s="402"/>
    </row>
    <row r="266" spans="1:11" x14ac:dyDescent="0.25">
      <c r="A266" s="395" t="s">
        <v>390</v>
      </c>
      <c r="B266" s="409"/>
      <c r="C266" s="410"/>
      <c r="D266" s="397"/>
      <c r="E266" s="411"/>
      <c r="F266" s="422"/>
      <c r="G266" s="403" t="s">
        <v>57</v>
      </c>
      <c r="H266" s="413">
        <v>0.05</v>
      </c>
      <c r="I266" s="414">
        <v>225</v>
      </c>
      <c r="J266" s="415"/>
      <c r="K266" s="402"/>
    </row>
    <row r="267" spans="1:11" x14ac:dyDescent="0.25">
      <c r="A267" s="395" t="s">
        <v>390</v>
      </c>
      <c r="B267" s="409"/>
      <c r="C267" s="410"/>
      <c r="D267" s="397"/>
      <c r="E267" s="411"/>
      <c r="F267" s="422"/>
      <c r="G267" s="403" t="s">
        <v>364</v>
      </c>
      <c r="H267" s="413">
        <v>0.5</v>
      </c>
      <c r="I267" s="416">
        <v>2250</v>
      </c>
      <c r="J267" s="415"/>
      <c r="K267" s="402"/>
    </row>
    <row r="268" spans="1:11" ht="15.75" customHeight="1" x14ac:dyDescent="0.25">
      <c r="A268" s="395" t="s">
        <v>390</v>
      </c>
      <c r="B268" s="409" t="s">
        <v>195</v>
      </c>
      <c r="C268" s="410" t="s">
        <v>427</v>
      </c>
      <c r="D268" s="397" t="s">
        <v>84</v>
      </c>
      <c r="E268" s="411" t="s">
        <v>196</v>
      </c>
      <c r="F268" s="412">
        <v>1.0999999999999999E-2</v>
      </c>
      <c r="G268" s="403" t="s">
        <v>25</v>
      </c>
      <c r="H268" s="413">
        <v>0.15</v>
      </c>
      <c r="I268" s="414">
        <v>75</v>
      </c>
      <c r="J268" s="419">
        <v>500</v>
      </c>
      <c r="K268" s="402"/>
    </row>
    <row r="269" spans="1:11" x14ac:dyDescent="0.25">
      <c r="A269" s="395" t="s">
        <v>390</v>
      </c>
      <c r="B269" s="409"/>
      <c r="C269" s="410"/>
      <c r="D269" s="397"/>
      <c r="E269" s="411"/>
      <c r="F269" s="412"/>
      <c r="G269" s="403" t="s">
        <v>26</v>
      </c>
      <c r="H269" s="413">
        <v>0.1</v>
      </c>
      <c r="I269" s="414">
        <v>50</v>
      </c>
      <c r="J269" s="419"/>
      <c r="K269" s="402"/>
    </row>
    <row r="270" spans="1:11" x14ac:dyDescent="0.25">
      <c r="A270" s="395" t="s">
        <v>390</v>
      </c>
      <c r="B270" s="409"/>
      <c r="C270" s="410"/>
      <c r="D270" s="397"/>
      <c r="E270" s="411"/>
      <c r="F270" s="412"/>
      <c r="G270" s="403" t="s">
        <v>27</v>
      </c>
      <c r="H270" s="413">
        <v>0.2</v>
      </c>
      <c r="I270" s="414">
        <v>100</v>
      </c>
      <c r="J270" s="419"/>
      <c r="K270" s="402"/>
    </row>
    <row r="271" spans="1:11" x14ac:dyDescent="0.25">
      <c r="A271" s="395" t="s">
        <v>390</v>
      </c>
      <c r="B271" s="409"/>
      <c r="C271" s="410"/>
      <c r="D271" s="397"/>
      <c r="E271" s="411"/>
      <c r="F271" s="412"/>
      <c r="G271" s="403" t="s">
        <v>57</v>
      </c>
      <c r="H271" s="413">
        <v>0.05</v>
      </c>
      <c r="I271" s="414">
        <v>25</v>
      </c>
      <c r="J271" s="419"/>
      <c r="K271" s="402"/>
    </row>
    <row r="272" spans="1:11" x14ac:dyDescent="0.25">
      <c r="A272" s="395" t="s">
        <v>390</v>
      </c>
      <c r="B272" s="409"/>
      <c r="C272" s="410"/>
      <c r="D272" s="397"/>
      <c r="E272" s="411"/>
      <c r="F272" s="412"/>
      <c r="G272" s="403" t="s">
        <v>364</v>
      </c>
      <c r="H272" s="413">
        <v>0.5</v>
      </c>
      <c r="I272" s="414">
        <v>250</v>
      </c>
      <c r="J272" s="419"/>
      <c r="K272" s="402"/>
    </row>
    <row r="273" spans="1:12" ht="15.75" customHeight="1" x14ac:dyDescent="0.25">
      <c r="A273" s="395" t="s">
        <v>390</v>
      </c>
      <c r="B273" s="409" t="s">
        <v>197</v>
      </c>
      <c r="C273" s="410" t="s">
        <v>428</v>
      </c>
      <c r="D273" s="397" t="s">
        <v>84</v>
      </c>
      <c r="E273" s="411" t="s">
        <v>198</v>
      </c>
      <c r="F273" s="412">
        <v>1.0999999999999999E-2</v>
      </c>
      <c r="G273" s="403" t="s">
        <v>25</v>
      </c>
      <c r="H273" s="413">
        <v>0.15</v>
      </c>
      <c r="I273" s="414">
        <v>75</v>
      </c>
      <c r="J273" s="419">
        <v>500</v>
      </c>
      <c r="K273" s="402"/>
    </row>
    <row r="274" spans="1:12" x14ac:dyDescent="0.25">
      <c r="A274" s="395" t="s">
        <v>390</v>
      </c>
      <c r="B274" s="409"/>
      <c r="C274" s="410"/>
      <c r="D274" s="397"/>
      <c r="E274" s="411"/>
      <c r="F274" s="412"/>
      <c r="G274" s="403" t="s">
        <v>26</v>
      </c>
      <c r="H274" s="413">
        <v>0.1</v>
      </c>
      <c r="I274" s="414">
        <v>50</v>
      </c>
      <c r="J274" s="419"/>
      <c r="K274" s="402"/>
    </row>
    <row r="275" spans="1:12" x14ac:dyDescent="0.25">
      <c r="A275" s="395" t="s">
        <v>390</v>
      </c>
      <c r="B275" s="409"/>
      <c r="C275" s="410"/>
      <c r="D275" s="397"/>
      <c r="E275" s="411"/>
      <c r="F275" s="412"/>
      <c r="G275" s="403" t="s">
        <v>27</v>
      </c>
      <c r="H275" s="413">
        <v>0.2</v>
      </c>
      <c r="I275" s="414">
        <v>100</v>
      </c>
      <c r="J275" s="419"/>
      <c r="K275" s="402"/>
    </row>
    <row r="276" spans="1:12" x14ac:dyDescent="0.25">
      <c r="A276" s="395" t="s">
        <v>390</v>
      </c>
      <c r="B276" s="409"/>
      <c r="C276" s="410"/>
      <c r="D276" s="397"/>
      <c r="E276" s="411"/>
      <c r="F276" s="412"/>
      <c r="G276" s="403" t="s">
        <v>57</v>
      </c>
      <c r="H276" s="413">
        <v>0.05</v>
      </c>
      <c r="I276" s="414">
        <v>25</v>
      </c>
      <c r="J276" s="419"/>
      <c r="K276" s="402"/>
    </row>
    <row r="277" spans="1:12" x14ac:dyDescent="0.25">
      <c r="A277" s="395" t="s">
        <v>390</v>
      </c>
      <c r="B277" s="409"/>
      <c r="C277" s="410"/>
      <c r="D277" s="397"/>
      <c r="E277" s="411"/>
      <c r="F277" s="412"/>
      <c r="G277" s="403" t="s">
        <v>364</v>
      </c>
      <c r="H277" s="413">
        <v>0.5</v>
      </c>
      <c r="I277" s="414">
        <v>250</v>
      </c>
      <c r="J277" s="419"/>
      <c r="K277" s="402"/>
      <c r="L277" s="420">
        <f>+SUM(F238:F277)</f>
        <v>0.99999999999999989</v>
      </c>
    </row>
    <row r="278" spans="1:12" ht="15" customHeight="1" x14ac:dyDescent="0.25">
      <c r="A278" s="395" t="s">
        <v>390</v>
      </c>
      <c r="B278" s="397" t="s">
        <v>59</v>
      </c>
      <c r="C278" s="397" t="s">
        <v>404</v>
      </c>
      <c r="D278" s="397" t="s">
        <v>60</v>
      </c>
      <c r="E278" s="397" t="s">
        <v>393</v>
      </c>
      <c r="F278" s="398" t="s">
        <v>394</v>
      </c>
      <c r="G278" s="399" t="s">
        <v>360</v>
      </c>
      <c r="H278" s="399" t="s">
        <v>361</v>
      </c>
      <c r="I278" s="398" t="s">
        <v>17</v>
      </c>
      <c r="J278" s="398" t="s">
        <v>17</v>
      </c>
      <c r="K278" s="400"/>
    </row>
    <row r="279" spans="1:12" x14ac:dyDescent="0.25">
      <c r="A279" s="395" t="s">
        <v>390</v>
      </c>
      <c r="B279" s="397"/>
      <c r="C279" s="397"/>
      <c r="D279" s="397"/>
      <c r="E279" s="397"/>
      <c r="F279" s="398" t="s">
        <v>395</v>
      </c>
      <c r="G279" s="399"/>
      <c r="H279" s="399"/>
      <c r="I279" s="398" t="s">
        <v>396</v>
      </c>
      <c r="J279" s="398" t="s">
        <v>397</v>
      </c>
      <c r="K279" s="400"/>
    </row>
    <row r="280" spans="1:12" x14ac:dyDescent="0.25">
      <c r="A280" s="395" t="s">
        <v>390</v>
      </c>
      <c r="B280" s="397"/>
      <c r="C280" s="397"/>
      <c r="D280" s="397"/>
      <c r="E280" s="397"/>
      <c r="F280" s="401"/>
      <c r="G280" s="399"/>
      <c r="H280" s="399"/>
      <c r="I280" s="401"/>
      <c r="J280" s="398" t="s">
        <v>398</v>
      </c>
      <c r="K280" s="402"/>
    </row>
    <row r="281" spans="1:12" x14ac:dyDescent="0.25">
      <c r="A281" s="395" t="s">
        <v>390</v>
      </c>
      <c r="B281" s="403" t="s">
        <v>199</v>
      </c>
      <c r="C281" s="403" t="s">
        <v>420</v>
      </c>
      <c r="D281" s="404"/>
      <c r="E281" s="403"/>
      <c r="F281" s="413">
        <v>1</v>
      </c>
      <c r="G281" s="403"/>
      <c r="H281" s="403"/>
      <c r="I281" s="406"/>
      <c r="J281" s="403"/>
      <c r="K281" s="402"/>
    </row>
    <row r="282" spans="1:12" x14ac:dyDescent="0.25">
      <c r="A282" s="395" t="s">
        <v>390</v>
      </c>
      <c r="B282" s="403"/>
      <c r="C282" s="403" t="s">
        <v>200</v>
      </c>
      <c r="D282" s="404"/>
      <c r="E282" s="407"/>
      <c r="F282" s="403"/>
      <c r="G282" s="407"/>
      <c r="H282" s="403"/>
      <c r="I282" s="403"/>
      <c r="J282" s="408">
        <v>31000</v>
      </c>
      <c r="K282" s="402"/>
    </row>
    <row r="283" spans="1:12" x14ac:dyDescent="0.25">
      <c r="A283" s="395" t="s">
        <v>390</v>
      </c>
      <c r="B283" s="409" t="s">
        <v>201</v>
      </c>
      <c r="C283" s="410" t="s">
        <v>429</v>
      </c>
      <c r="D283" s="397" t="s">
        <v>215</v>
      </c>
      <c r="E283" s="411" t="s">
        <v>202</v>
      </c>
      <c r="F283" s="412">
        <v>3.9E-2</v>
      </c>
      <c r="G283" s="403" t="s">
        <v>25</v>
      </c>
      <c r="H283" s="413">
        <v>0.15</v>
      </c>
      <c r="I283" s="414">
        <v>180</v>
      </c>
      <c r="J283" s="415">
        <v>1200</v>
      </c>
      <c r="K283" s="402"/>
    </row>
    <row r="284" spans="1:12" x14ac:dyDescent="0.25">
      <c r="A284" s="395" t="s">
        <v>390</v>
      </c>
      <c r="B284" s="409"/>
      <c r="C284" s="410"/>
      <c r="D284" s="397"/>
      <c r="E284" s="411"/>
      <c r="F284" s="412"/>
      <c r="G284" s="403" t="s">
        <v>26</v>
      </c>
      <c r="H284" s="413">
        <v>0.1</v>
      </c>
      <c r="I284" s="414">
        <v>120</v>
      </c>
      <c r="J284" s="415"/>
      <c r="K284" s="402"/>
    </row>
    <row r="285" spans="1:12" x14ac:dyDescent="0.25">
      <c r="A285" s="395" t="s">
        <v>390</v>
      </c>
      <c r="B285" s="409"/>
      <c r="C285" s="410"/>
      <c r="D285" s="397"/>
      <c r="E285" s="411"/>
      <c r="F285" s="412"/>
      <c r="G285" s="403" t="s">
        <v>27</v>
      </c>
      <c r="H285" s="413">
        <v>0.2</v>
      </c>
      <c r="I285" s="414">
        <v>240</v>
      </c>
      <c r="J285" s="415"/>
      <c r="K285" s="402"/>
    </row>
    <row r="286" spans="1:12" x14ac:dyDescent="0.25">
      <c r="A286" s="395" t="s">
        <v>390</v>
      </c>
      <c r="B286" s="409"/>
      <c r="C286" s="410"/>
      <c r="D286" s="397"/>
      <c r="E286" s="411"/>
      <c r="F286" s="412"/>
      <c r="G286" s="403" t="s">
        <v>57</v>
      </c>
      <c r="H286" s="413">
        <v>0.05</v>
      </c>
      <c r="I286" s="414">
        <v>60</v>
      </c>
      <c r="J286" s="415"/>
      <c r="K286" s="402"/>
    </row>
    <row r="287" spans="1:12" x14ac:dyDescent="0.25">
      <c r="A287" s="395" t="s">
        <v>390</v>
      </c>
      <c r="B287" s="409"/>
      <c r="C287" s="410"/>
      <c r="D287" s="397"/>
      <c r="E287" s="411"/>
      <c r="F287" s="412"/>
      <c r="G287" s="403" t="s">
        <v>364</v>
      </c>
      <c r="H287" s="413">
        <v>0.5</v>
      </c>
      <c r="I287" s="414">
        <v>600</v>
      </c>
      <c r="J287" s="415"/>
      <c r="K287" s="402"/>
    </row>
    <row r="288" spans="1:12" ht="15.75" customHeight="1" x14ac:dyDescent="0.25">
      <c r="A288" s="395" t="s">
        <v>390</v>
      </c>
      <c r="B288" s="409" t="s">
        <v>203</v>
      </c>
      <c r="C288" s="410" t="s">
        <v>430</v>
      </c>
      <c r="D288" s="397" t="s">
        <v>215</v>
      </c>
      <c r="E288" s="411" t="s">
        <v>204</v>
      </c>
      <c r="F288" s="412">
        <v>5.1999999999999998E-2</v>
      </c>
      <c r="G288" s="403" t="s">
        <v>25</v>
      </c>
      <c r="H288" s="413">
        <v>0.15</v>
      </c>
      <c r="I288" s="423">
        <v>240</v>
      </c>
      <c r="J288" s="419" t="s">
        <v>579</v>
      </c>
      <c r="K288" s="402"/>
    </row>
    <row r="289" spans="1:11" x14ac:dyDescent="0.25">
      <c r="A289" s="395" t="s">
        <v>390</v>
      </c>
      <c r="B289" s="409"/>
      <c r="C289" s="410"/>
      <c r="D289" s="397"/>
      <c r="E289" s="411"/>
      <c r="F289" s="412"/>
      <c r="G289" s="403" t="s">
        <v>26</v>
      </c>
      <c r="H289" s="413">
        <v>0.1</v>
      </c>
      <c r="I289" s="423">
        <v>160</v>
      </c>
      <c r="J289" s="419"/>
      <c r="K289" s="402"/>
    </row>
    <row r="290" spans="1:11" x14ac:dyDescent="0.25">
      <c r="A290" s="395" t="s">
        <v>390</v>
      </c>
      <c r="B290" s="409"/>
      <c r="C290" s="410"/>
      <c r="D290" s="397"/>
      <c r="E290" s="411"/>
      <c r="F290" s="412"/>
      <c r="G290" s="403" t="s">
        <v>27</v>
      </c>
      <c r="H290" s="413">
        <v>0.2</v>
      </c>
      <c r="I290" s="423">
        <v>320</v>
      </c>
      <c r="J290" s="419"/>
      <c r="K290" s="402"/>
    </row>
    <row r="291" spans="1:11" x14ac:dyDescent="0.25">
      <c r="A291" s="395" t="s">
        <v>390</v>
      </c>
      <c r="B291" s="409"/>
      <c r="C291" s="410"/>
      <c r="D291" s="397"/>
      <c r="E291" s="411"/>
      <c r="F291" s="412"/>
      <c r="G291" s="403" t="s">
        <v>57</v>
      </c>
      <c r="H291" s="413">
        <v>0.05</v>
      </c>
      <c r="I291" s="423">
        <v>80</v>
      </c>
      <c r="J291" s="419"/>
      <c r="K291" s="402"/>
    </row>
    <row r="292" spans="1:11" x14ac:dyDescent="0.25">
      <c r="A292" s="395" t="s">
        <v>390</v>
      </c>
      <c r="B292" s="409"/>
      <c r="C292" s="410"/>
      <c r="D292" s="397"/>
      <c r="E292" s="411"/>
      <c r="F292" s="412"/>
      <c r="G292" s="403" t="s">
        <v>364</v>
      </c>
      <c r="H292" s="413">
        <v>0.5</v>
      </c>
      <c r="I292" s="423">
        <v>800</v>
      </c>
      <c r="J292" s="419"/>
      <c r="K292" s="402"/>
    </row>
    <row r="293" spans="1:11" ht="15.75" customHeight="1" x14ac:dyDescent="0.25">
      <c r="A293" s="395" t="s">
        <v>390</v>
      </c>
      <c r="B293" s="409" t="s">
        <v>205</v>
      </c>
      <c r="C293" s="410" t="s">
        <v>431</v>
      </c>
      <c r="D293" s="424" t="s">
        <v>84</v>
      </c>
      <c r="E293" s="411" t="s">
        <v>206</v>
      </c>
      <c r="F293" s="412">
        <v>3.5000000000000003E-2</v>
      </c>
      <c r="G293" s="403" t="s">
        <v>25</v>
      </c>
      <c r="H293" s="413">
        <v>0.15</v>
      </c>
      <c r="I293" s="414">
        <v>165</v>
      </c>
      <c r="J293" s="415">
        <v>1100</v>
      </c>
      <c r="K293" s="402"/>
    </row>
    <row r="294" spans="1:11" x14ac:dyDescent="0.25">
      <c r="A294" s="395" t="s">
        <v>390</v>
      </c>
      <c r="B294" s="409"/>
      <c r="C294" s="410"/>
      <c r="D294" s="424"/>
      <c r="E294" s="411"/>
      <c r="F294" s="412"/>
      <c r="G294" s="403" t="s">
        <v>26</v>
      </c>
      <c r="H294" s="413">
        <v>0.1</v>
      </c>
      <c r="I294" s="414">
        <v>110</v>
      </c>
      <c r="J294" s="415"/>
      <c r="K294" s="402"/>
    </row>
    <row r="295" spans="1:11" x14ac:dyDescent="0.25">
      <c r="A295" s="395" t="s">
        <v>390</v>
      </c>
      <c r="B295" s="409"/>
      <c r="C295" s="410"/>
      <c r="D295" s="424"/>
      <c r="E295" s="411"/>
      <c r="F295" s="412"/>
      <c r="G295" s="403" t="s">
        <v>27</v>
      </c>
      <c r="H295" s="413">
        <v>0.2</v>
      </c>
      <c r="I295" s="414">
        <v>220</v>
      </c>
      <c r="J295" s="415"/>
      <c r="K295" s="402"/>
    </row>
    <row r="296" spans="1:11" x14ac:dyDescent="0.25">
      <c r="A296" s="395" t="s">
        <v>390</v>
      </c>
      <c r="B296" s="409"/>
      <c r="C296" s="410"/>
      <c r="D296" s="424"/>
      <c r="E296" s="411"/>
      <c r="F296" s="412"/>
      <c r="G296" s="403" t="s">
        <v>57</v>
      </c>
      <c r="H296" s="413">
        <v>0.05</v>
      </c>
      <c r="I296" s="414">
        <v>55</v>
      </c>
      <c r="J296" s="415"/>
      <c r="K296" s="402"/>
    </row>
    <row r="297" spans="1:11" x14ac:dyDescent="0.25">
      <c r="A297" s="395" t="s">
        <v>390</v>
      </c>
      <c r="B297" s="409"/>
      <c r="C297" s="410"/>
      <c r="D297" s="424"/>
      <c r="E297" s="411"/>
      <c r="F297" s="412"/>
      <c r="G297" s="403" t="s">
        <v>364</v>
      </c>
      <c r="H297" s="413">
        <v>0.5</v>
      </c>
      <c r="I297" s="414">
        <v>550</v>
      </c>
      <c r="J297" s="415"/>
      <c r="K297" s="402"/>
    </row>
    <row r="298" spans="1:11" ht="15.75" customHeight="1" x14ac:dyDescent="0.25">
      <c r="A298" s="395" t="s">
        <v>390</v>
      </c>
      <c r="B298" s="409" t="s">
        <v>207</v>
      </c>
      <c r="C298" s="410" t="s">
        <v>432</v>
      </c>
      <c r="D298" s="397" t="s">
        <v>84</v>
      </c>
      <c r="E298" s="411" t="s">
        <v>208</v>
      </c>
      <c r="F298" s="412">
        <v>1.6E-2</v>
      </c>
      <c r="G298" s="403" t="s">
        <v>25</v>
      </c>
      <c r="H298" s="413">
        <v>0.15</v>
      </c>
      <c r="I298" s="414">
        <v>75</v>
      </c>
      <c r="J298" s="419">
        <v>500</v>
      </c>
      <c r="K298" s="402"/>
    </row>
    <row r="299" spans="1:11" x14ac:dyDescent="0.25">
      <c r="A299" s="395" t="s">
        <v>390</v>
      </c>
      <c r="B299" s="409"/>
      <c r="C299" s="410"/>
      <c r="D299" s="397"/>
      <c r="E299" s="411"/>
      <c r="F299" s="412"/>
      <c r="G299" s="403" t="s">
        <v>26</v>
      </c>
      <c r="H299" s="413">
        <v>0.1</v>
      </c>
      <c r="I299" s="414">
        <v>50</v>
      </c>
      <c r="J299" s="419"/>
      <c r="K299" s="402"/>
    </row>
    <row r="300" spans="1:11" x14ac:dyDescent="0.25">
      <c r="A300" s="395" t="s">
        <v>390</v>
      </c>
      <c r="B300" s="409"/>
      <c r="C300" s="410"/>
      <c r="D300" s="397"/>
      <c r="E300" s="411"/>
      <c r="F300" s="412"/>
      <c r="G300" s="403" t="s">
        <v>27</v>
      </c>
      <c r="H300" s="413">
        <v>0.2</v>
      </c>
      <c r="I300" s="414">
        <v>100</v>
      </c>
      <c r="J300" s="419"/>
      <c r="K300" s="402"/>
    </row>
    <row r="301" spans="1:11" x14ac:dyDescent="0.25">
      <c r="A301" s="395" t="s">
        <v>390</v>
      </c>
      <c r="B301" s="409"/>
      <c r="C301" s="410"/>
      <c r="D301" s="397"/>
      <c r="E301" s="411"/>
      <c r="F301" s="412"/>
      <c r="G301" s="403" t="s">
        <v>57</v>
      </c>
      <c r="H301" s="413">
        <v>0.05</v>
      </c>
      <c r="I301" s="414">
        <v>25</v>
      </c>
      <c r="J301" s="419"/>
      <c r="K301" s="402"/>
    </row>
    <row r="302" spans="1:11" x14ac:dyDescent="0.25">
      <c r="A302" s="395" t="s">
        <v>390</v>
      </c>
      <c r="B302" s="409"/>
      <c r="C302" s="410"/>
      <c r="D302" s="397"/>
      <c r="E302" s="411"/>
      <c r="F302" s="412"/>
      <c r="G302" s="403" t="s">
        <v>364</v>
      </c>
      <c r="H302" s="413">
        <v>0.5</v>
      </c>
      <c r="I302" s="414">
        <v>250</v>
      </c>
      <c r="J302" s="419"/>
      <c r="K302" s="402"/>
    </row>
    <row r="303" spans="1:11" ht="15.75" customHeight="1" x14ac:dyDescent="0.25">
      <c r="A303" s="395" t="s">
        <v>390</v>
      </c>
      <c r="B303" s="409" t="s">
        <v>209</v>
      </c>
      <c r="C303" s="410" t="s">
        <v>433</v>
      </c>
      <c r="D303" s="397" t="s">
        <v>84</v>
      </c>
      <c r="E303" s="411" t="s">
        <v>210</v>
      </c>
      <c r="F303" s="412">
        <v>1.6E-2</v>
      </c>
      <c r="G303" s="403" t="s">
        <v>25</v>
      </c>
      <c r="H303" s="413">
        <v>0.15</v>
      </c>
      <c r="I303" s="414">
        <v>75</v>
      </c>
      <c r="J303" s="419">
        <v>500</v>
      </c>
      <c r="K303" s="402"/>
    </row>
    <row r="304" spans="1:11" x14ac:dyDescent="0.25">
      <c r="A304" s="395" t="s">
        <v>390</v>
      </c>
      <c r="B304" s="409"/>
      <c r="C304" s="410"/>
      <c r="D304" s="397"/>
      <c r="E304" s="411"/>
      <c r="F304" s="412"/>
      <c r="G304" s="403" t="s">
        <v>26</v>
      </c>
      <c r="H304" s="413">
        <v>0.1</v>
      </c>
      <c r="I304" s="414">
        <v>50</v>
      </c>
      <c r="J304" s="419"/>
      <c r="K304" s="402"/>
    </row>
    <row r="305" spans="1:12" x14ac:dyDescent="0.25">
      <c r="A305" s="395" t="s">
        <v>390</v>
      </c>
      <c r="B305" s="409"/>
      <c r="C305" s="410"/>
      <c r="D305" s="397"/>
      <c r="E305" s="411"/>
      <c r="F305" s="412"/>
      <c r="G305" s="403" t="s">
        <v>27</v>
      </c>
      <c r="H305" s="413">
        <v>0.2</v>
      </c>
      <c r="I305" s="414">
        <v>100</v>
      </c>
      <c r="J305" s="419"/>
      <c r="K305" s="402"/>
    </row>
    <row r="306" spans="1:12" x14ac:dyDescent="0.25">
      <c r="A306" s="395" t="s">
        <v>390</v>
      </c>
      <c r="B306" s="409"/>
      <c r="C306" s="410"/>
      <c r="D306" s="397"/>
      <c r="E306" s="411"/>
      <c r="F306" s="412"/>
      <c r="G306" s="403" t="s">
        <v>57</v>
      </c>
      <c r="H306" s="413">
        <v>0.05</v>
      </c>
      <c r="I306" s="414">
        <v>25</v>
      </c>
      <c r="J306" s="419"/>
      <c r="K306" s="402"/>
    </row>
    <row r="307" spans="1:12" x14ac:dyDescent="0.25">
      <c r="A307" s="395" t="s">
        <v>390</v>
      </c>
      <c r="B307" s="409"/>
      <c r="C307" s="410"/>
      <c r="D307" s="397"/>
      <c r="E307" s="411"/>
      <c r="F307" s="412"/>
      <c r="G307" s="403" t="s">
        <v>364</v>
      </c>
      <c r="H307" s="413">
        <v>0.5</v>
      </c>
      <c r="I307" s="414">
        <v>250</v>
      </c>
      <c r="J307" s="419"/>
      <c r="K307" s="402"/>
      <c r="L307" s="420"/>
    </row>
    <row r="308" spans="1:12" x14ac:dyDescent="0.25">
      <c r="A308" s="395" t="s">
        <v>390</v>
      </c>
      <c r="B308" s="403"/>
      <c r="C308" s="403" t="s">
        <v>211</v>
      </c>
      <c r="D308" s="404"/>
      <c r="E308" s="407"/>
      <c r="F308" s="403"/>
      <c r="G308" s="407"/>
      <c r="H308" s="403"/>
      <c r="I308" s="403"/>
      <c r="J308" s="403"/>
      <c r="K308" s="402"/>
    </row>
    <row r="309" spans="1:12" ht="15.75" customHeight="1" x14ac:dyDescent="0.25">
      <c r="A309" s="395" t="s">
        <v>390</v>
      </c>
      <c r="B309" s="409" t="s">
        <v>212</v>
      </c>
      <c r="C309" s="410" t="s">
        <v>434</v>
      </c>
      <c r="D309" s="397" t="s">
        <v>215</v>
      </c>
      <c r="E309" s="411" t="s">
        <v>213</v>
      </c>
      <c r="F309" s="412">
        <v>8.1000000000000003E-2</v>
      </c>
      <c r="G309" s="403" t="s">
        <v>25</v>
      </c>
      <c r="H309" s="413">
        <v>0.15</v>
      </c>
      <c r="I309" s="414">
        <v>375</v>
      </c>
      <c r="J309" s="415">
        <v>2500</v>
      </c>
      <c r="K309" s="402"/>
    </row>
    <row r="310" spans="1:12" x14ac:dyDescent="0.25">
      <c r="A310" s="395" t="s">
        <v>390</v>
      </c>
      <c r="B310" s="409"/>
      <c r="C310" s="410"/>
      <c r="D310" s="397"/>
      <c r="E310" s="411"/>
      <c r="F310" s="412"/>
      <c r="G310" s="403" t="s">
        <v>26</v>
      </c>
      <c r="H310" s="413">
        <v>0.1</v>
      </c>
      <c r="I310" s="414">
        <v>250</v>
      </c>
      <c r="J310" s="415"/>
      <c r="K310" s="402"/>
    </row>
    <row r="311" spans="1:12" x14ac:dyDescent="0.25">
      <c r="A311" s="395" t="s">
        <v>390</v>
      </c>
      <c r="B311" s="409"/>
      <c r="C311" s="410"/>
      <c r="D311" s="397"/>
      <c r="E311" s="411"/>
      <c r="F311" s="412"/>
      <c r="G311" s="403" t="s">
        <v>27</v>
      </c>
      <c r="H311" s="413">
        <v>0.2</v>
      </c>
      <c r="I311" s="414">
        <v>500</v>
      </c>
      <c r="J311" s="415"/>
      <c r="K311" s="402"/>
    </row>
    <row r="312" spans="1:12" x14ac:dyDescent="0.25">
      <c r="A312" s="395" t="s">
        <v>390</v>
      </c>
      <c r="B312" s="409"/>
      <c r="C312" s="410"/>
      <c r="D312" s="397"/>
      <c r="E312" s="411"/>
      <c r="F312" s="412"/>
      <c r="G312" s="403" t="s">
        <v>57</v>
      </c>
      <c r="H312" s="413">
        <v>0.05</v>
      </c>
      <c r="I312" s="414">
        <v>125</v>
      </c>
      <c r="J312" s="415"/>
      <c r="K312" s="402"/>
    </row>
    <row r="313" spans="1:12" x14ac:dyDescent="0.25">
      <c r="A313" s="395" t="s">
        <v>390</v>
      </c>
      <c r="B313" s="409"/>
      <c r="C313" s="410"/>
      <c r="D313" s="397"/>
      <c r="E313" s="411"/>
      <c r="F313" s="412"/>
      <c r="G313" s="403" t="s">
        <v>364</v>
      </c>
      <c r="H313" s="413">
        <v>0.5</v>
      </c>
      <c r="I313" s="416">
        <v>1250</v>
      </c>
      <c r="J313" s="415"/>
      <c r="K313" s="402"/>
    </row>
    <row r="314" spans="1:12" ht="15.75" customHeight="1" x14ac:dyDescent="0.25">
      <c r="A314" s="395" t="s">
        <v>390</v>
      </c>
      <c r="B314" s="409" t="s">
        <v>214</v>
      </c>
      <c r="C314" s="410" t="s">
        <v>435</v>
      </c>
      <c r="D314" s="397" t="s">
        <v>215</v>
      </c>
      <c r="E314" s="411" t="s">
        <v>216</v>
      </c>
      <c r="F314" s="412">
        <v>0.23499999999999999</v>
      </c>
      <c r="G314" s="403" t="s">
        <v>25</v>
      </c>
      <c r="H314" s="413">
        <v>0.15</v>
      </c>
      <c r="I314" s="416">
        <v>1095</v>
      </c>
      <c r="J314" s="415">
        <v>7300</v>
      </c>
      <c r="K314" s="402"/>
    </row>
    <row r="315" spans="1:12" x14ac:dyDescent="0.25">
      <c r="A315" s="395" t="s">
        <v>390</v>
      </c>
      <c r="B315" s="409"/>
      <c r="C315" s="410"/>
      <c r="D315" s="397"/>
      <c r="E315" s="411"/>
      <c r="F315" s="412"/>
      <c r="G315" s="403" t="s">
        <v>26</v>
      </c>
      <c r="H315" s="413">
        <v>0.1</v>
      </c>
      <c r="I315" s="414">
        <v>730</v>
      </c>
      <c r="J315" s="415"/>
      <c r="K315" s="402"/>
    </row>
    <row r="316" spans="1:12" x14ac:dyDescent="0.25">
      <c r="A316" s="395" t="s">
        <v>390</v>
      </c>
      <c r="B316" s="409"/>
      <c r="C316" s="410"/>
      <c r="D316" s="397"/>
      <c r="E316" s="411"/>
      <c r="F316" s="412"/>
      <c r="G316" s="403" t="s">
        <v>27</v>
      </c>
      <c r="H316" s="413">
        <v>0.2</v>
      </c>
      <c r="I316" s="416">
        <v>1460</v>
      </c>
      <c r="J316" s="415"/>
      <c r="K316" s="402"/>
    </row>
    <row r="317" spans="1:12" x14ac:dyDescent="0.25">
      <c r="A317" s="395" t="s">
        <v>390</v>
      </c>
      <c r="B317" s="409"/>
      <c r="C317" s="410"/>
      <c r="D317" s="397"/>
      <c r="E317" s="411"/>
      <c r="F317" s="412"/>
      <c r="G317" s="403" t="s">
        <v>57</v>
      </c>
      <c r="H317" s="413">
        <v>0.05</v>
      </c>
      <c r="I317" s="414">
        <v>365</v>
      </c>
      <c r="J317" s="415"/>
      <c r="K317" s="402"/>
    </row>
    <row r="318" spans="1:12" x14ac:dyDescent="0.25">
      <c r="A318" s="395" t="s">
        <v>390</v>
      </c>
      <c r="B318" s="409"/>
      <c r="C318" s="410"/>
      <c r="D318" s="397"/>
      <c r="E318" s="411"/>
      <c r="F318" s="412"/>
      <c r="G318" s="403" t="s">
        <v>364</v>
      </c>
      <c r="H318" s="413">
        <v>0.5</v>
      </c>
      <c r="I318" s="416">
        <v>3650</v>
      </c>
      <c r="J318" s="415"/>
      <c r="K318" s="402"/>
    </row>
    <row r="319" spans="1:12" x14ac:dyDescent="0.25">
      <c r="A319" s="395" t="s">
        <v>390</v>
      </c>
      <c r="B319" s="409" t="s">
        <v>217</v>
      </c>
      <c r="C319" s="410" t="s">
        <v>436</v>
      </c>
      <c r="D319" s="397" t="s">
        <v>215</v>
      </c>
      <c r="E319" s="411" t="s">
        <v>218</v>
      </c>
      <c r="F319" s="425">
        <v>3.5000000000000003E-2</v>
      </c>
      <c r="G319" s="403" t="s">
        <v>25</v>
      </c>
      <c r="H319" s="413">
        <v>0.15</v>
      </c>
      <c r="I319" s="414">
        <v>165</v>
      </c>
      <c r="J319" s="415">
        <v>1100</v>
      </c>
      <c r="K319" s="402"/>
    </row>
    <row r="320" spans="1:12" x14ac:dyDescent="0.25">
      <c r="A320" s="395" t="s">
        <v>390</v>
      </c>
      <c r="B320" s="409"/>
      <c r="C320" s="410"/>
      <c r="D320" s="397"/>
      <c r="E320" s="411"/>
      <c r="F320" s="425"/>
      <c r="G320" s="403" t="s">
        <v>26</v>
      </c>
      <c r="H320" s="413">
        <v>0.1</v>
      </c>
      <c r="I320" s="414">
        <v>110</v>
      </c>
      <c r="J320" s="415"/>
      <c r="K320" s="402"/>
    </row>
    <row r="321" spans="1:11" x14ac:dyDescent="0.25">
      <c r="A321" s="395" t="s">
        <v>390</v>
      </c>
      <c r="B321" s="409"/>
      <c r="C321" s="410"/>
      <c r="D321" s="397"/>
      <c r="E321" s="411"/>
      <c r="F321" s="425"/>
      <c r="G321" s="403" t="s">
        <v>27</v>
      </c>
      <c r="H321" s="413">
        <v>0.2</v>
      </c>
      <c r="I321" s="414">
        <v>220</v>
      </c>
      <c r="J321" s="415"/>
      <c r="K321" s="402"/>
    </row>
    <row r="322" spans="1:11" x14ac:dyDescent="0.25">
      <c r="A322" s="395" t="s">
        <v>390</v>
      </c>
      <c r="B322" s="409"/>
      <c r="C322" s="410"/>
      <c r="D322" s="397"/>
      <c r="E322" s="411"/>
      <c r="F322" s="425"/>
      <c r="G322" s="403" t="s">
        <v>57</v>
      </c>
      <c r="H322" s="413">
        <v>0.05</v>
      </c>
      <c r="I322" s="414">
        <v>55</v>
      </c>
      <c r="J322" s="415"/>
      <c r="K322" s="402"/>
    </row>
    <row r="323" spans="1:11" x14ac:dyDescent="0.25">
      <c r="A323" s="395" t="s">
        <v>390</v>
      </c>
      <c r="B323" s="409"/>
      <c r="C323" s="410"/>
      <c r="D323" s="397"/>
      <c r="E323" s="411"/>
      <c r="F323" s="425"/>
      <c r="G323" s="403" t="s">
        <v>364</v>
      </c>
      <c r="H323" s="413">
        <v>0.5</v>
      </c>
      <c r="I323" s="414">
        <v>550</v>
      </c>
      <c r="J323" s="415"/>
      <c r="K323" s="402"/>
    </row>
    <row r="324" spans="1:11" ht="15.75" customHeight="1" x14ac:dyDescent="0.25">
      <c r="A324" s="395" t="s">
        <v>390</v>
      </c>
      <c r="B324" s="409" t="s">
        <v>219</v>
      </c>
      <c r="C324" s="410" t="s">
        <v>437</v>
      </c>
      <c r="D324" s="397" t="s">
        <v>215</v>
      </c>
      <c r="E324" s="411" t="s">
        <v>220</v>
      </c>
      <c r="F324" s="412">
        <v>9.4E-2</v>
      </c>
      <c r="G324" s="403" t="s">
        <v>25</v>
      </c>
      <c r="H324" s="413">
        <v>0.15</v>
      </c>
      <c r="I324" s="414">
        <v>435</v>
      </c>
      <c r="J324" s="415">
        <v>2900</v>
      </c>
      <c r="K324" s="402"/>
    </row>
    <row r="325" spans="1:11" x14ac:dyDescent="0.25">
      <c r="A325" s="395" t="s">
        <v>390</v>
      </c>
      <c r="B325" s="409"/>
      <c r="C325" s="410"/>
      <c r="D325" s="397"/>
      <c r="E325" s="411"/>
      <c r="F325" s="412"/>
      <c r="G325" s="403" t="s">
        <v>26</v>
      </c>
      <c r="H325" s="413">
        <v>0.1</v>
      </c>
      <c r="I325" s="414">
        <v>290</v>
      </c>
      <c r="J325" s="415"/>
      <c r="K325" s="402"/>
    </row>
    <row r="326" spans="1:11" x14ac:dyDescent="0.25">
      <c r="A326" s="395" t="s">
        <v>390</v>
      </c>
      <c r="B326" s="409"/>
      <c r="C326" s="410"/>
      <c r="D326" s="397"/>
      <c r="E326" s="411"/>
      <c r="F326" s="412"/>
      <c r="G326" s="403" t="s">
        <v>27</v>
      </c>
      <c r="H326" s="413">
        <v>0.2</v>
      </c>
      <c r="I326" s="414">
        <v>580</v>
      </c>
      <c r="J326" s="415"/>
      <c r="K326" s="402"/>
    </row>
    <row r="327" spans="1:11" x14ac:dyDescent="0.25">
      <c r="A327" s="395" t="s">
        <v>390</v>
      </c>
      <c r="B327" s="409"/>
      <c r="C327" s="410"/>
      <c r="D327" s="397"/>
      <c r="E327" s="411"/>
      <c r="F327" s="412"/>
      <c r="G327" s="403" t="s">
        <v>57</v>
      </c>
      <c r="H327" s="413">
        <v>0.05</v>
      </c>
      <c r="I327" s="414">
        <v>145</v>
      </c>
      <c r="J327" s="415"/>
      <c r="K327" s="402"/>
    </row>
    <row r="328" spans="1:11" x14ac:dyDescent="0.25">
      <c r="A328" s="395" t="s">
        <v>390</v>
      </c>
      <c r="B328" s="409"/>
      <c r="C328" s="410"/>
      <c r="D328" s="397"/>
      <c r="E328" s="411"/>
      <c r="F328" s="412"/>
      <c r="G328" s="403" t="s">
        <v>364</v>
      </c>
      <c r="H328" s="413">
        <v>0.5</v>
      </c>
      <c r="I328" s="416">
        <v>1450</v>
      </c>
      <c r="J328" s="415"/>
      <c r="K328" s="402"/>
    </row>
    <row r="329" spans="1:11" ht="15.75" customHeight="1" x14ac:dyDescent="0.25">
      <c r="A329" s="395" t="s">
        <v>390</v>
      </c>
      <c r="B329" s="409" t="s">
        <v>221</v>
      </c>
      <c r="C329" s="410" t="s">
        <v>438</v>
      </c>
      <c r="D329" s="397" t="s">
        <v>84</v>
      </c>
      <c r="E329" s="411" t="s">
        <v>222</v>
      </c>
      <c r="F329" s="412">
        <v>2.5999999999999999E-2</v>
      </c>
      <c r="G329" s="403" t="s">
        <v>25</v>
      </c>
      <c r="H329" s="413">
        <v>0.15</v>
      </c>
      <c r="I329" s="414">
        <v>120</v>
      </c>
      <c r="J329" s="419">
        <v>800</v>
      </c>
      <c r="K329" s="402"/>
    </row>
    <row r="330" spans="1:11" x14ac:dyDescent="0.25">
      <c r="A330" s="395" t="s">
        <v>390</v>
      </c>
      <c r="B330" s="409"/>
      <c r="C330" s="410"/>
      <c r="D330" s="397"/>
      <c r="E330" s="411"/>
      <c r="F330" s="412"/>
      <c r="G330" s="403" t="s">
        <v>26</v>
      </c>
      <c r="H330" s="413">
        <v>0.1</v>
      </c>
      <c r="I330" s="414">
        <v>80</v>
      </c>
      <c r="J330" s="419"/>
      <c r="K330" s="402"/>
    </row>
    <row r="331" spans="1:11" x14ac:dyDescent="0.25">
      <c r="A331" s="395" t="s">
        <v>390</v>
      </c>
      <c r="B331" s="409"/>
      <c r="C331" s="410"/>
      <c r="D331" s="397"/>
      <c r="E331" s="411"/>
      <c r="F331" s="412"/>
      <c r="G331" s="403" t="s">
        <v>27</v>
      </c>
      <c r="H331" s="413">
        <v>0.2</v>
      </c>
      <c r="I331" s="414">
        <v>160</v>
      </c>
      <c r="J331" s="419"/>
      <c r="K331" s="402"/>
    </row>
    <row r="332" spans="1:11" x14ac:dyDescent="0.25">
      <c r="A332" s="395" t="s">
        <v>390</v>
      </c>
      <c r="B332" s="409"/>
      <c r="C332" s="410"/>
      <c r="D332" s="397"/>
      <c r="E332" s="411"/>
      <c r="F332" s="412"/>
      <c r="G332" s="403" t="s">
        <v>57</v>
      </c>
      <c r="H332" s="413">
        <v>0.05</v>
      </c>
      <c r="I332" s="414">
        <v>40</v>
      </c>
      <c r="J332" s="419"/>
      <c r="K332" s="402"/>
    </row>
    <row r="333" spans="1:11" x14ac:dyDescent="0.25">
      <c r="A333" s="395" t="s">
        <v>390</v>
      </c>
      <c r="B333" s="409"/>
      <c r="C333" s="410"/>
      <c r="D333" s="397"/>
      <c r="E333" s="411"/>
      <c r="F333" s="412"/>
      <c r="G333" s="403" t="s">
        <v>364</v>
      </c>
      <c r="H333" s="413">
        <v>0.5</v>
      </c>
      <c r="I333" s="414">
        <v>400</v>
      </c>
      <c r="J333" s="419"/>
      <c r="K333" s="402"/>
    </row>
    <row r="334" spans="1:11" ht="15.75" customHeight="1" x14ac:dyDescent="0.25">
      <c r="A334" s="395" t="s">
        <v>390</v>
      </c>
      <c r="B334" s="409" t="s">
        <v>223</v>
      </c>
      <c r="C334" s="410" t="s">
        <v>439</v>
      </c>
      <c r="D334" s="397" t="s">
        <v>84</v>
      </c>
      <c r="E334" s="411" t="s">
        <v>224</v>
      </c>
      <c r="F334" s="412">
        <v>2.3E-2</v>
      </c>
      <c r="G334" s="403" t="s">
        <v>25</v>
      </c>
      <c r="H334" s="413">
        <v>0.15</v>
      </c>
      <c r="I334" s="414">
        <v>105</v>
      </c>
      <c r="J334" s="419">
        <v>700</v>
      </c>
      <c r="K334" s="402"/>
    </row>
    <row r="335" spans="1:11" x14ac:dyDescent="0.25">
      <c r="A335" s="395" t="s">
        <v>390</v>
      </c>
      <c r="B335" s="409"/>
      <c r="C335" s="410"/>
      <c r="D335" s="397"/>
      <c r="E335" s="411"/>
      <c r="F335" s="412"/>
      <c r="G335" s="403" t="s">
        <v>26</v>
      </c>
      <c r="H335" s="413">
        <v>0.1</v>
      </c>
      <c r="I335" s="414">
        <v>70</v>
      </c>
      <c r="J335" s="419"/>
      <c r="K335" s="402"/>
    </row>
    <row r="336" spans="1:11" x14ac:dyDescent="0.25">
      <c r="A336" s="395" t="s">
        <v>390</v>
      </c>
      <c r="B336" s="409"/>
      <c r="C336" s="410"/>
      <c r="D336" s="397"/>
      <c r="E336" s="411"/>
      <c r="F336" s="412"/>
      <c r="G336" s="403" t="s">
        <v>27</v>
      </c>
      <c r="H336" s="413">
        <v>0.2</v>
      </c>
      <c r="I336" s="414">
        <v>140</v>
      </c>
      <c r="J336" s="419"/>
      <c r="K336" s="402"/>
    </row>
    <row r="337" spans="1:11" x14ac:dyDescent="0.25">
      <c r="A337" s="395" t="s">
        <v>390</v>
      </c>
      <c r="B337" s="409"/>
      <c r="C337" s="410"/>
      <c r="D337" s="397"/>
      <c r="E337" s="411"/>
      <c r="F337" s="412"/>
      <c r="G337" s="403" t="s">
        <v>57</v>
      </c>
      <c r="H337" s="413">
        <v>0.05</v>
      </c>
      <c r="I337" s="414">
        <v>35</v>
      </c>
      <c r="J337" s="419"/>
      <c r="K337" s="402"/>
    </row>
    <row r="338" spans="1:11" x14ac:dyDescent="0.25">
      <c r="A338" s="395" t="s">
        <v>390</v>
      </c>
      <c r="B338" s="409"/>
      <c r="C338" s="410"/>
      <c r="D338" s="397"/>
      <c r="E338" s="411"/>
      <c r="F338" s="412"/>
      <c r="G338" s="403" t="s">
        <v>364</v>
      </c>
      <c r="H338" s="413">
        <v>0.5</v>
      </c>
      <c r="I338" s="414">
        <v>350</v>
      </c>
      <c r="J338" s="419"/>
      <c r="K338" s="402"/>
    </row>
    <row r="339" spans="1:11" ht="15.75" customHeight="1" x14ac:dyDescent="0.25">
      <c r="A339" s="395" t="s">
        <v>390</v>
      </c>
      <c r="B339" s="409" t="s">
        <v>225</v>
      </c>
      <c r="C339" s="410" t="s">
        <v>440</v>
      </c>
      <c r="D339" s="397" t="s">
        <v>84</v>
      </c>
      <c r="E339" s="411" t="s">
        <v>226</v>
      </c>
      <c r="F339" s="412">
        <v>1.6E-2</v>
      </c>
      <c r="G339" s="403" t="s">
        <v>25</v>
      </c>
      <c r="H339" s="413">
        <v>0.15</v>
      </c>
      <c r="I339" s="414">
        <v>75</v>
      </c>
      <c r="J339" s="419">
        <v>500</v>
      </c>
      <c r="K339" s="402"/>
    </row>
    <row r="340" spans="1:11" x14ac:dyDescent="0.25">
      <c r="A340" s="395" t="s">
        <v>390</v>
      </c>
      <c r="B340" s="409"/>
      <c r="C340" s="410"/>
      <c r="D340" s="397"/>
      <c r="E340" s="411"/>
      <c r="F340" s="412"/>
      <c r="G340" s="403" t="s">
        <v>26</v>
      </c>
      <c r="H340" s="413">
        <v>0.1</v>
      </c>
      <c r="I340" s="414">
        <v>50</v>
      </c>
      <c r="J340" s="419"/>
      <c r="K340" s="402"/>
    </row>
    <row r="341" spans="1:11" x14ac:dyDescent="0.25">
      <c r="A341" s="395" t="s">
        <v>390</v>
      </c>
      <c r="B341" s="409"/>
      <c r="C341" s="410"/>
      <c r="D341" s="397"/>
      <c r="E341" s="411"/>
      <c r="F341" s="412"/>
      <c r="G341" s="403" t="s">
        <v>27</v>
      </c>
      <c r="H341" s="413">
        <v>0.2</v>
      </c>
      <c r="I341" s="414">
        <v>100</v>
      </c>
      <c r="J341" s="419"/>
      <c r="K341" s="402"/>
    </row>
    <row r="342" spans="1:11" x14ac:dyDescent="0.25">
      <c r="A342" s="395" t="s">
        <v>390</v>
      </c>
      <c r="B342" s="409"/>
      <c r="C342" s="410"/>
      <c r="D342" s="397"/>
      <c r="E342" s="411"/>
      <c r="F342" s="412"/>
      <c r="G342" s="403" t="s">
        <v>57</v>
      </c>
      <c r="H342" s="413">
        <v>0.05</v>
      </c>
      <c r="I342" s="414">
        <v>25</v>
      </c>
      <c r="J342" s="419"/>
      <c r="K342" s="402"/>
    </row>
    <row r="343" spans="1:11" x14ac:dyDescent="0.25">
      <c r="A343" s="395" t="s">
        <v>390</v>
      </c>
      <c r="B343" s="409"/>
      <c r="C343" s="410"/>
      <c r="D343" s="397"/>
      <c r="E343" s="411"/>
      <c r="F343" s="412"/>
      <c r="G343" s="403" t="s">
        <v>364</v>
      </c>
      <c r="H343" s="413">
        <v>0.5</v>
      </c>
      <c r="I343" s="414">
        <v>250</v>
      </c>
      <c r="J343" s="419"/>
      <c r="K343" s="402"/>
    </row>
    <row r="344" spans="1:11" x14ac:dyDescent="0.25">
      <c r="A344" s="395" t="s">
        <v>390</v>
      </c>
      <c r="B344" s="403"/>
      <c r="C344" s="403" t="s">
        <v>227</v>
      </c>
      <c r="D344" s="404"/>
      <c r="E344" s="407"/>
      <c r="F344" s="403"/>
      <c r="G344" s="407"/>
      <c r="H344" s="403"/>
      <c r="I344" s="403"/>
      <c r="J344" s="403"/>
      <c r="K344" s="402"/>
    </row>
    <row r="345" spans="1:11" ht="15.75" customHeight="1" x14ac:dyDescent="0.25">
      <c r="A345" s="395" t="s">
        <v>390</v>
      </c>
      <c r="B345" s="409" t="s">
        <v>228</v>
      </c>
      <c r="C345" s="410" t="s">
        <v>441</v>
      </c>
      <c r="D345" s="397" t="s">
        <v>215</v>
      </c>
      <c r="E345" s="411" t="s">
        <v>229</v>
      </c>
      <c r="F345" s="412">
        <v>7.3999999999999996E-2</v>
      </c>
      <c r="G345" s="403" t="s">
        <v>25</v>
      </c>
      <c r="H345" s="413">
        <v>0.15</v>
      </c>
      <c r="I345" s="414">
        <v>345</v>
      </c>
      <c r="J345" s="415">
        <v>2300</v>
      </c>
      <c r="K345" s="402"/>
    </row>
    <row r="346" spans="1:11" x14ac:dyDescent="0.25">
      <c r="A346" s="395" t="s">
        <v>390</v>
      </c>
      <c r="B346" s="409"/>
      <c r="C346" s="410"/>
      <c r="D346" s="397"/>
      <c r="E346" s="411"/>
      <c r="F346" s="412"/>
      <c r="G346" s="403" t="s">
        <v>26</v>
      </c>
      <c r="H346" s="413">
        <v>0.1</v>
      </c>
      <c r="I346" s="414">
        <v>230</v>
      </c>
      <c r="J346" s="415"/>
      <c r="K346" s="402"/>
    </row>
    <row r="347" spans="1:11" x14ac:dyDescent="0.25">
      <c r="A347" s="395" t="s">
        <v>390</v>
      </c>
      <c r="B347" s="409"/>
      <c r="C347" s="410"/>
      <c r="D347" s="397"/>
      <c r="E347" s="411"/>
      <c r="F347" s="412"/>
      <c r="G347" s="403" t="s">
        <v>27</v>
      </c>
      <c r="H347" s="413">
        <v>0.2</v>
      </c>
      <c r="I347" s="414">
        <v>460</v>
      </c>
      <c r="J347" s="415"/>
      <c r="K347" s="402"/>
    </row>
    <row r="348" spans="1:11" x14ac:dyDescent="0.25">
      <c r="A348" s="395" t="s">
        <v>390</v>
      </c>
      <c r="B348" s="409"/>
      <c r="C348" s="410"/>
      <c r="D348" s="397"/>
      <c r="E348" s="411"/>
      <c r="F348" s="412"/>
      <c r="G348" s="403" t="s">
        <v>57</v>
      </c>
      <c r="H348" s="413">
        <v>0.05</v>
      </c>
      <c r="I348" s="414">
        <v>115</v>
      </c>
      <c r="J348" s="415"/>
      <c r="K348" s="402"/>
    </row>
    <row r="349" spans="1:11" x14ac:dyDescent="0.25">
      <c r="A349" s="395" t="s">
        <v>390</v>
      </c>
      <c r="B349" s="409"/>
      <c r="C349" s="410"/>
      <c r="D349" s="397"/>
      <c r="E349" s="411"/>
      <c r="F349" s="412"/>
      <c r="G349" s="403" t="s">
        <v>364</v>
      </c>
      <c r="H349" s="413">
        <v>0.5</v>
      </c>
      <c r="I349" s="416">
        <v>1150</v>
      </c>
      <c r="J349" s="415"/>
      <c r="K349" s="402"/>
    </row>
    <row r="350" spans="1:11" ht="15.75" customHeight="1" x14ac:dyDescent="0.25">
      <c r="A350" s="395" t="s">
        <v>390</v>
      </c>
      <c r="B350" s="409" t="s">
        <v>230</v>
      </c>
      <c r="C350" s="410" t="s">
        <v>442</v>
      </c>
      <c r="D350" s="397" t="s">
        <v>215</v>
      </c>
      <c r="E350" s="411" t="s">
        <v>231</v>
      </c>
      <c r="F350" s="412">
        <v>8.1000000000000003E-2</v>
      </c>
      <c r="G350" s="403" t="s">
        <v>25</v>
      </c>
      <c r="H350" s="413">
        <v>0.15</v>
      </c>
      <c r="I350" s="414">
        <v>375</v>
      </c>
      <c r="J350" s="415">
        <v>2500</v>
      </c>
      <c r="K350" s="402"/>
    </row>
    <row r="351" spans="1:11" x14ac:dyDescent="0.25">
      <c r="A351" s="395" t="s">
        <v>390</v>
      </c>
      <c r="B351" s="409"/>
      <c r="C351" s="410"/>
      <c r="D351" s="397"/>
      <c r="E351" s="411"/>
      <c r="F351" s="412"/>
      <c r="G351" s="403" t="s">
        <v>26</v>
      </c>
      <c r="H351" s="413">
        <v>0.1</v>
      </c>
      <c r="I351" s="414">
        <v>250</v>
      </c>
      <c r="J351" s="415"/>
      <c r="K351" s="402"/>
    </row>
    <row r="352" spans="1:11" x14ac:dyDescent="0.25">
      <c r="A352" s="395" t="s">
        <v>390</v>
      </c>
      <c r="B352" s="409"/>
      <c r="C352" s="410"/>
      <c r="D352" s="397"/>
      <c r="E352" s="411"/>
      <c r="F352" s="412"/>
      <c r="G352" s="403" t="s">
        <v>27</v>
      </c>
      <c r="H352" s="413">
        <v>0.2</v>
      </c>
      <c r="I352" s="414">
        <v>500</v>
      </c>
      <c r="J352" s="415"/>
      <c r="K352" s="402"/>
    </row>
    <row r="353" spans="1:11" x14ac:dyDescent="0.25">
      <c r="A353" s="395" t="s">
        <v>390</v>
      </c>
      <c r="B353" s="409"/>
      <c r="C353" s="410"/>
      <c r="D353" s="397"/>
      <c r="E353" s="411"/>
      <c r="F353" s="412"/>
      <c r="G353" s="403" t="s">
        <v>57</v>
      </c>
      <c r="H353" s="413">
        <v>0.05</v>
      </c>
      <c r="I353" s="414">
        <v>125</v>
      </c>
      <c r="J353" s="415"/>
      <c r="K353" s="402"/>
    </row>
    <row r="354" spans="1:11" x14ac:dyDescent="0.25">
      <c r="A354" s="395" t="s">
        <v>390</v>
      </c>
      <c r="B354" s="409"/>
      <c r="C354" s="410"/>
      <c r="D354" s="397"/>
      <c r="E354" s="411"/>
      <c r="F354" s="412"/>
      <c r="G354" s="403" t="s">
        <v>364</v>
      </c>
      <c r="H354" s="413">
        <v>0.5</v>
      </c>
      <c r="I354" s="416">
        <v>1250</v>
      </c>
      <c r="J354" s="415"/>
      <c r="K354" s="402"/>
    </row>
    <row r="355" spans="1:11" ht="15.75" customHeight="1" x14ac:dyDescent="0.25">
      <c r="A355" s="395" t="s">
        <v>390</v>
      </c>
      <c r="B355" s="409" t="s">
        <v>232</v>
      </c>
      <c r="C355" s="410" t="s">
        <v>443</v>
      </c>
      <c r="D355" s="397" t="s">
        <v>84</v>
      </c>
      <c r="E355" s="411" t="s">
        <v>233</v>
      </c>
      <c r="F355" s="412">
        <v>1.6E-2</v>
      </c>
      <c r="G355" s="403" t="s">
        <v>25</v>
      </c>
      <c r="H355" s="413">
        <v>0.15</v>
      </c>
      <c r="I355" s="414">
        <v>75</v>
      </c>
      <c r="J355" s="419">
        <v>500</v>
      </c>
      <c r="K355" s="402"/>
    </row>
    <row r="356" spans="1:11" x14ac:dyDescent="0.25">
      <c r="A356" s="395" t="s">
        <v>390</v>
      </c>
      <c r="B356" s="409"/>
      <c r="C356" s="410"/>
      <c r="D356" s="397"/>
      <c r="E356" s="411"/>
      <c r="F356" s="412"/>
      <c r="G356" s="403" t="s">
        <v>26</v>
      </c>
      <c r="H356" s="413">
        <v>0.1</v>
      </c>
      <c r="I356" s="414">
        <v>50</v>
      </c>
      <c r="J356" s="419"/>
      <c r="K356" s="402"/>
    </row>
    <row r="357" spans="1:11" x14ac:dyDescent="0.25">
      <c r="A357" s="395" t="s">
        <v>390</v>
      </c>
      <c r="B357" s="409"/>
      <c r="C357" s="410"/>
      <c r="D357" s="397"/>
      <c r="E357" s="411"/>
      <c r="F357" s="412"/>
      <c r="G357" s="403" t="s">
        <v>27</v>
      </c>
      <c r="H357" s="413">
        <v>0.2</v>
      </c>
      <c r="I357" s="414">
        <v>100</v>
      </c>
      <c r="J357" s="419"/>
      <c r="K357" s="402"/>
    </row>
    <row r="358" spans="1:11" x14ac:dyDescent="0.25">
      <c r="A358" s="395" t="s">
        <v>390</v>
      </c>
      <c r="B358" s="409"/>
      <c r="C358" s="410"/>
      <c r="D358" s="397"/>
      <c r="E358" s="411"/>
      <c r="F358" s="412"/>
      <c r="G358" s="403" t="s">
        <v>57</v>
      </c>
      <c r="H358" s="413">
        <v>0.05</v>
      </c>
      <c r="I358" s="414">
        <v>25</v>
      </c>
      <c r="J358" s="419"/>
      <c r="K358" s="402"/>
    </row>
    <row r="359" spans="1:11" x14ac:dyDescent="0.25">
      <c r="A359" s="395" t="s">
        <v>390</v>
      </c>
      <c r="B359" s="409"/>
      <c r="C359" s="410"/>
      <c r="D359" s="397"/>
      <c r="E359" s="411"/>
      <c r="F359" s="412"/>
      <c r="G359" s="403" t="s">
        <v>364</v>
      </c>
      <c r="H359" s="413">
        <v>0.5</v>
      </c>
      <c r="I359" s="414">
        <v>250</v>
      </c>
      <c r="J359" s="419"/>
      <c r="K359" s="402"/>
    </row>
    <row r="360" spans="1:11" x14ac:dyDescent="0.25">
      <c r="A360" s="395" t="s">
        <v>390</v>
      </c>
      <c r="B360" s="403"/>
      <c r="C360" s="403" t="s">
        <v>234</v>
      </c>
      <c r="D360" s="404"/>
      <c r="E360" s="407"/>
      <c r="F360" s="403"/>
      <c r="G360" s="407"/>
      <c r="H360" s="403"/>
      <c r="I360" s="403"/>
      <c r="J360" s="403"/>
      <c r="K360" s="402"/>
    </row>
    <row r="361" spans="1:11" ht="15.75" customHeight="1" x14ac:dyDescent="0.25">
      <c r="A361" s="395" t="s">
        <v>390</v>
      </c>
      <c r="B361" s="409" t="s">
        <v>235</v>
      </c>
      <c r="C361" s="410" t="s">
        <v>444</v>
      </c>
      <c r="D361" s="397" t="s">
        <v>215</v>
      </c>
      <c r="E361" s="411" t="s">
        <v>236</v>
      </c>
      <c r="F361" s="412">
        <v>0.11</v>
      </c>
      <c r="G361" s="403" t="s">
        <v>25</v>
      </c>
      <c r="H361" s="413">
        <v>0.15</v>
      </c>
      <c r="I361" s="414">
        <v>510</v>
      </c>
      <c r="J361" s="415">
        <v>3400</v>
      </c>
      <c r="K361" s="402"/>
    </row>
    <row r="362" spans="1:11" x14ac:dyDescent="0.25">
      <c r="A362" s="395" t="s">
        <v>390</v>
      </c>
      <c r="B362" s="409"/>
      <c r="C362" s="410"/>
      <c r="D362" s="397"/>
      <c r="E362" s="411"/>
      <c r="F362" s="412"/>
      <c r="G362" s="403" t="s">
        <v>26</v>
      </c>
      <c r="H362" s="413">
        <v>0.1</v>
      </c>
      <c r="I362" s="414">
        <v>340</v>
      </c>
      <c r="J362" s="415"/>
      <c r="K362" s="402"/>
    </row>
    <row r="363" spans="1:11" x14ac:dyDescent="0.25">
      <c r="A363" s="395" t="s">
        <v>390</v>
      </c>
      <c r="B363" s="409"/>
      <c r="C363" s="410"/>
      <c r="D363" s="397"/>
      <c r="E363" s="411"/>
      <c r="F363" s="412"/>
      <c r="G363" s="403" t="s">
        <v>27</v>
      </c>
      <c r="H363" s="413">
        <v>0.2</v>
      </c>
      <c r="I363" s="414">
        <v>680</v>
      </c>
      <c r="J363" s="415"/>
      <c r="K363" s="402"/>
    </row>
    <row r="364" spans="1:11" x14ac:dyDescent="0.25">
      <c r="A364" s="395" t="s">
        <v>390</v>
      </c>
      <c r="B364" s="409"/>
      <c r="C364" s="410"/>
      <c r="D364" s="397"/>
      <c r="E364" s="411"/>
      <c r="F364" s="412"/>
      <c r="G364" s="403" t="s">
        <v>57</v>
      </c>
      <c r="H364" s="413">
        <v>0.05</v>
      </c>
      <c r="I364" s="414">
        <v>170</v>
      </c>
      <c r="J364" s="415"/>
      <c r="K364" s="402"/>
    </row>
    <row r="365" spans="1:11" x14ac:dyDescent="0.25">
      <c r="A365" s="395" t="s">
        <v>390</v>
      </c>
      <c r="B365" s="409"/>
      <c r="C365" s="410"/>
      <c r="D365" s="397"/>
      <c r="E365" s="411"/>
      <c r="F365" s="412"/>
      <c r="G365" s="403" t="s">
        <v>364</v>
      </c>
      <c r="H365" s="413">
        <v>0.5</v>
      </c>
      <c r="I365" s="416">
        <v>1700</v>
      </c>
      <c r="J365" s="415"/>
      <c r="K365" s="402"/>
    </row>
    <row r="366" spans="1:11" ht="15.75" customHeight="1" x14ac:dyDescent="0.25">
      <c r="A366" s="395" t="s">
        <v>390</v>
      </c>
      <c r="B366" s="409" t="s">
        <v>237</v>
      </c>
      <c r="C366" s="410" t="s">
        <v>445</v>
      </c>
      <c r="D366" s="397" t="s">
        <v>84</v>
      </c>
      <c r="E366" s="411" t="s">
        <v>238</v>
      </c>
      <c r="F366" s="412">
        <v>1.6E-2</v>
      </c>
      <c r="G366" s="403" t="s">
        <v>25</v>
      </c>
      <c r="H366" s="413">
        <v>0.15</v>
      </c>
      <c r="I366" s="414">
        <v>75</v>
      </c>
      <c r="J366" s="419">
        <v>500</v>
      </c>
      <c r="K366" s="402"/>
    </row>
    <row r="367" spans="1:11" x14ac:dyDescent="0.25">
      <c r="A367" s="395" t="s">
        <v>390</v>
      </c>
      <c r="B367" s="409"/>
      <c r="C367" s="410"/>
      <c r="D367" s="397"/>
      <c r="E367" s="411"/>
      <c r="F367" s="412"/>
      <c r="G367" s="403" t="s">
        <v>26</v>
      </c>
      <c r="H367" s="413">
        <v>0.1</v>
      </c>
      <c r="I367" s="414">
        <v>50</v>
      </c>
      <c r="J367" s="419"/>
      <c r="K367" s="402"/>
    </row>
    <row r="368" spans="1:11" x14ac:dyDescent="0.25">
      <c r="A368" s="395" t="s">
        <v>390</v>
      </c>
      <c r="B368" s="409"/>
      <c r="C368" s="410"/>
      <c r="D368" s="397"/>
      <c r="E368" s="411"/>
      <c r="F368" s="412"/>
      <c r="G368" s="403" t="s">
        <v>27</v>
      </c>
      <c r="H368" s="413">
        <v>0.2</v>
      </c>
      <c r="I368" s="414">
        <v>100</v>
      </c>
      <c r="J368" s="419"/>
      <c r="K368" s="402"/>
    </row>
    <row r="369" spans="1:12" x14ac:dyDescent="0.25">
      <c r="A369" s="395" t="s">
        <v>390</v>
      </c>
      <c r="B369" s="409"/>
      <c r="C369" s="410"/>
      <c r="D369" s="397"/>
      <c r="E369" s="411"/>
      <c r="F369" s="412"/>
      <c r="G369" s="403" t="s">
        <v>57</v>
      </c>
      <c r="H369" s="413">
        <v>0.05</v>
      </c>
      <c r="I369" s="414">
        <v>25</v>
      </c>
      <c r="J369" s="419"/>
      <c r="K369" s="402"/>
    </row>
    <row r="370" spans="1:12" x14ac:dyDescent="0.25">
      <c r="A370" s="395" t="s">
        <v>390</v>
      </c>
      <c r="B370" s="409"/>
      <c r="C370" s="410"/>
      <c r="D370" s="397"/>
      <c r="E370" s="411"/>
      <c r="F370" s="412"/>
      <c r="G370" s="403" t="s">
        <v>364</v>
      </c>
      <c r="H370" s="413">
        <v>0.5</v>
      </c>
      <c r="I370" s="414">
        <v>250</v>
      </c>
      <c r="J370" s="419"/>
      <c r="K370" s="402"/>
    </row>
    <row r="371" spans="1:12" ht="15.75" customHeight="1" x14ac:dyDescent="0.25">
      <c r="A371" s="395" t="s">
        <v>390</v>
      </c>
      <c r="B371" s="409" t="s">
        <v>239</v>
      </c>
      <c r="C371" s="410" t="s">
        <v>446</v>
      </c>
      <c r="D371" s="397" t="s">
        <v>84</v>
      </c>
      <c r="E371" s="411" t="s">
        <v>240</v>
      </c>
      <c r="F371" s="412">
        <v>3.5000000000000003E-2</v>
      </c>
      <c r="G371" s="403" t="s">
        <v>25</v>
      </c>
      <c r="H371" s="413">
        <v>0.15</v>
      </c>
      <c r="I371" s="414">
        <v>165</v>
      </c>
      <c r="J371" s="415">
        <v>1100</v>
      </c>
      <c r="K371" s="402"/>
    </row>
    <row r="372" spans="1:12" x14ac:dyDescent="0.25">
      <c r="A372" s="395" t="s">
        <v>390</v>
      </c>
      <c r="B372" s="409"/>
      <c r="C372" s="410"/>
      <c r="D372" s="397"/>
      <c r="E372" s="411"/>
      <c r="F372" s="412"/>
      <c r="G372" s="403" t="s">
        <v>26</v>
      </c>
      <c r="H372" s="413">
        <v>0.1</v>
      </c>
      <c r="I372" s="414">
        <v>110</v>
      </c>
      <c r="J372" s="415"/>
      <c r="K372" s="402"/>
    </row>
    <row r="373" spans="1:12" x14ac:dyDescent="0.25">
      <c r="A373" s="395" t="s">
        <v>390</v>
      </c>
      <c r="B373" s="409"/>
      <c r="C373" s="410"/>
      <c r="D373" s="397"/>
      <c r="E373" s="411"/>
      <c r="F373" s="412"/>
      <c r="G373" s="403" t="s">
        <v>27</v>
      </c>
      <c r="H373" s="413">
        <v>0.2</v>
      </c>
      <c r="I373" s="414">
        <v>220</v>
      </c>
      <c r="J373" s="415"/>
      <c r="K373" s="402"/>
    </row>
    <row r="374" spans="1:12" x14ac:dyDescent="0.25">
      <c r="A374" s="395" t="s">
        <v>390</v>
      </c>
      <c r="B374" s="409"/>
      <c r="C374" s="410"/>
      <c r="D374" s="397"/>
      <c r="E374" s="411"/>
      <c r="F374" s="412"/>
      <c r="G374" s="403" t="s">
        <v>57</v>
      </c>
      <c r="H374" s="413">
        <v>0.05</v>
      </c>
      <c r="I374" s="414">
        <v>55</v>
      </c>
      <c r="J374" s="415"/>
      <c r="K374" s="402"/>
    </row>
    <row r="375" spans="1:12" x14ac:dyDescent="0.25">
      <c r="A375" s="395" t="s">
        <v>390</v>
      </c>
      <c r="B375" s="409"/>
      <c r="C375" s="410"/>
      <c r="D375" s="397"/>
      <c r="E375" s="411"/>
      <c r="F375" s="412"/>
      <c r="G375" s="403" t="s">
        <v>364</v>
      </c>
      <c r="H375" s="413">
        <v>0.5</v>
      </c>
      <c r="I375" s="414">
        <v>550</v>
      </c>
      <c r="J375" s="415"/>
      <c r="K375" s="402"/>
      <c r="L375" s="420">
        <f>+SUM(F283:F375)</f>
        <v>1</v>
      </c>
    </row>
    <row r="376" spans="1:12" ht="15" customHeight="1" x14ac:dyDescent="0.25">
      <c r="A376" s="395" t="s">
        <v>390</v>
      </c>
      <c r="B376" s="397" t="s">
        <v>59</v>
      </c>
      <c r="C376" s="397" t="s">
        <v>404</v>
      </c>
      <c r="D376" s="397" t="s">
        <v>60</v>
      </c>
      <c r="E376" s="397" t="s">
        <v>393</v>
      </c>
      <c r="F376" s="398" t="s">
        <v>394</v>
      </c>
      <c r="G376" s="399" t="s">
        <v>360</v>
      </c>
      <c r="H376" s="399" t="s">
        <v>361</v>
      </c>
      <c r="I376" s="398" t="s">
        <v>17</v>
      </c>
      <c r="J376" s="398" t="s">
        <v>17</v>
      </c>
      <c r="K376" s="400"/>
    </row>
    <row r="377" spans="1:12" x14ac:dyDescent="0.25">
      <c r="A377" s="395" t="s">
        <v>390</v>
      </c>
      <c r="B377" s="397"/>
      <c r="C377" s="397"/>
      <c r="D377" s="397"/>
      <c r="E377" s="397"/>
      <c r="F377" s="398" t="s">
        <v>395</v>
      </c>
      <c r="G377" s="399"/>
      <c r="H377" s="399"/>
      <c r="I377" s="398" t="s">
        <v>396</v>
      </c>
      <c r="J377" s="398" t="s">
        <v>397</v>
      </c>
      <c r="K377" s="400"/>
    </row>
    <row r="378" spans="1:12" x14ac:dyDescent="0.25">
      <c r="A378" s="395" t="s">
        <v>390</v>
      </c>
      <c r="B378" s="397"/>
      <c r="C378" s="397"/>
      <c r="D378" s="397"/>
      <c r="E378" s="397"/>
      <c r="F378" s="401"/>
      <c r="G378" s="399"/>
      <c r="H378" s="399"/>
      <c r="I378" s="401"/>
      <c r="J378" s="398" t="s">
        <v>398</v>
      </c>
      <c r="K378" s="402"/>
    </row>
    <row r="379" spans="1:12" x14ac:dyDescent="0.25">
      <c r="A379" s="395" t="s">
        <v>390</v>
      </c>
      <c r="B379" s="403" t="s">
        <v>241</v>
      </c>
      <c r="C379" s="403" t="s">
        <v>362</v>
      </c>
      <c r="D379" s="404"/>
      <c r="E379" s="403"/>
      <c r="F379" s="413">
        <v>1</v>
      </c>
      <c r="G379" s="403"/>
      <c r="H379" s="403"/>
      <c r="I379" s="406"/>
      <c r="J379" s="403"/>
      <c r="K379" s="402"/>
    </row>
    <row r="380" spans="1:12" x14ac:dyDescent="0.25">
      <c r="A380" s="395" t="s">
        <v>390</v>
      </c>
      <c r="B380" s="403"/>
      <c r="C380" s="403" t="s">
        <v>242</v>
      </c>
      <c r="D380" s="404"/>
      <c r="E380" s="407"/>
      <c r="F380" s="403"/>
      <c r="G380" s="407"/>
      <c r="H380" s="403"/>
      <c r="I380" s="403"/>
      <c r="J380" s="408">
        <v>28400</v>
      </c>
      <c r="K380" s="402"/>
    </row>
    <row r="381" spans="1:12" ht="15.75" customHeight="1" x14ac:dyDescent="0.25">
      <c r="A381" s="395" t="s">
        <v>390</v>
      </c>
      <c r="B381" s="409" t="s">
        <v>243</v>
      </c>
      <c r="C381" s="410" t="s">
        <v>447</v>
      </c>
      <c r="D381" s="397" t="s">
        <v>215</v>
      </c>
      <c r="E381" s="411" t="s">
        <v>244</v>
      </c>
      <c r="F381" s="412">
        <v>0.14399999999999999</v>
      </c>
      <c r="G381" s="403" t="s">
        <v>25</v>
      </c>
      <c r="H381" s="413">
        <v>0.15</v>
      </c>
      <c r="I381" s="414">
        <v>615</v>
      </c>
      <c r="J381" s="415">
        <v>4100</v>
      </c>
      <c r="K381" s="402"/>
    </row>
    <row r="382" spans="1:12" x14ac:dyDescent="0.25">
      <c r="A382" s="395" t="s">
        <v>390</v>
      </c>
      <c r="B382" s="409"/>
      <c r="C382" s="410"/>
      <c r="D382" s="397"/>
      <c r="E382" s="411"/>
      <c r="F382" s="412"/>
      <c r="G382" s="403" t="s">
        <v>26</v>
      </c>
      <c r="H382" s="413">
        <v>0.1</v>
      </c>
      <c r="I382" s="414">
        <v>410</v>
      </c>
      <c r="J382" s="415"/>
      <c r="K382" s="402"/>
    </row>
    <row r="383" spans="1:12" x14ac:dyDescent="0.25">
      <c r="A383" s="395" t="s">
        <v>390</v>
      </c>
      <c r="B383" s="409"/>
      <c r="C383" s="410"/>
      <c r="D383" s="397"/>
      <c r="E383" s="411"/>
      <c r="F383" s="412"/>
      <c r="G383" s="403" t="s">
        <v>27</v>
      </c>
      <c r="H383" s="413">
        <v>0.2</v>
      </c>
      <c r="I383" s="414">
        <v>820</v>
      </c>
      <c r="J383" s="415"/>
      <c r="K383" s="402"/>
    </row>
    <row r="384" spans="1:12" x14ac:dyDescent="0.25">
      <c r="A384" s="395" t="s">
        <v>390</v>
      </c>
      <c r="B384" s="409"/>
      <c r="C384" s="410"/>
      <c r="D384" s="397"/>
      <c r="E384" s="411"/>
      <c r="F384" s="412"/>
      <c r="G384" s="403" t="s">
        <v>57</v>
      </c>
      <c r="H384" s="413">
        <v>0.05</v>
      </c>
      <c r="I384" s="414">
        <v>205</v>
      </c>
      <c r="J384" s="415"/>
      <c r="K384" s="402"/>
    </row>
    <row r="385" spans="1:11" x14ac:dyDescent="0.25">
      <c r="A385" s="395" t="s">
        <v>390</v>
      </c>
      <c r="B385" s="409"/>
      <c r="C385" s="410"/>
      <c r="D385" s="397"/>
      <c r="E385" s="411"/>
      <c r="F385" s="412"/>
      <c r="G385" s="403" t="s">
        <v>364</v>
      </c>
      <c r="H385" s="413">
        <v>0.5</v>
      </c>
      <c r="I385" s="416">
        <v>2050</v>
      </c>
      <c r="J385" s="415"/>
      <c r="K385" s="402"/>
    </row>
    <row r="386" spans="1:11" ht="15.75" customHeight="1" x14ac:dyDescent="0.25">
      <c r="A386" s="395" t="s">
        <v>390</v>
      </c>
      <c r="B386" s="409" t="s">
        <v>245</v>
      </c>
      <c r="C386" s="410" t="s">
        <v>448</v>
      </c>
      <c r="D386" s="397" t="s">
        <v>215</v>
      </c>
      <c r="E386" s="411" t="s">
        <v>246</v>
      </c>
      <c r="F386" s="412">
        <v>0.13700000000000001</v>
      </c>
      <c r="G386" s="403" t="s">
        <v>25</v>
      </c>
      <c r="H386" s="413">
        <v>0.15</v>
      </c>
      <c r="I386" s="414">
        <v>585</v>
      </c>
      <c r="J386" s="415">
        <v>3900</v>
      </c>
      <c r="K386" s="402"/>
    </row>
    <row r="387" spans="1:11" x14ac:dyDescent="0.25">
      <c r="A387" s="395" t="s">
        <v>390</v>
      </c>
      <c r="B387" s="409"/>
      <c r="C387" s="410"/>
      <c r="D387" s="397"/>
      <c r="E387" s="411"/>
      <c r="F387" s="412"/>
      <c r="G387" s="403" t="s">
        <v>26</v>
      </c>
      <c r="H387" s="413">
        <v>0.1</v>
      </c>
      <c r="I387" s="414">
        <v>390</v>
      </c>
      <c r="J387" s="415"/>
      <c r="K387" s="402"/>
    </row>
    <row r="388" spans="1:11" x14ac:dyDescent="0.25">
      <c r="A388" s="395" t="s">
        <v>390</v>
      </c>
      <c r="B388" s="409"/>
      <c r="C388" s="410"/>
      <c r="D388" s="397"/>
      <c r="E388" s="411"/>
      <c r="F388" s="412"/>
      <c r="G388" s="403" t="s">
        <v>27</v>
      </c>
      <c r="H388" s="413">
        <v>0.2</v>
      </c>
      <c r="I388" s="414">
        <v>780</v>
      </c>
      <c r="J388" s="415"/>
      <c r="K388" s="402"/>
    </row>
    <row r="389" spans="1:11" x14ac:dyDescent="0.25">
      <c r="A389" s="395" t="s">
        <v>390</v>
      </c>
      <c r="B389" s="409"/>
      <c r="C389" s="410"/>
      <c r="D389" s="397"/>
      <c r="E389" s="411"/>
      <c r="F389" s="412"/>
      <c r="G389" s="403" t="s">
        <v>57</v>
      </c>
      <c r="H389" s="413">
        <v>0.05</v>
      </c>
      <c r="I389" s="414">
        <v>195</v>
      </c>
      <c r="J389" s="415"/>
      <c r="K389" s="402"/>
    </row>
    <row r="390" spans="1:11" x14ac:dyDescent="0.25">
      <c r="A390" s="395" t="s">
        <v>390</v>
      </c>
      <c r="B390" s="409"/>
      <c r="C390" s="410"/>
      <c r="D390" s="397"/>
      <c r="E390" s="411"/>
      <c r="F390" s="412"/>
      <c r="G390" s="403" t="s">
        <v>364</v>
      </c>
      <c r="H390" s="413">
        <v>0.5</v>
      </c>
      <c r="I390" s="416">
        <v>1950</v>
      </c>
      <c r="J390" s="415"/>
      <c r="K390" s="402"/>
    </row>
    <row r="391" spans="1:11" ht="15.75" customHeight="1" x14ac:dyDescent="0.25">
      <c r="A391" s="395" t="s">
        <v>390</v>
      </c>
      <c r="B391" s="409" t="s">
        <v>247</v>
      </c>
      <c r="C391" s="410" t="s">
        <v>449</v>
      </c>
      <c r="D391" s="397" t="s">
        <v>84</v>
      </c>
      <c r="E391" s="411" t="s">
        <v>248</v>
      </c>
      <c r="F391" s="412">
        <v>3.2000000000000001E-2</v>
      </c>
      <c r="G391" s="403" t="s">
        <v>25</v>
      </c>
      <c r="H391" s="413">
        <v>0.15</v>
      </c>
      <c r="I391" s="414">
        <v>135</v>
      </c>
      <c r="J391" s="419">
        <v>900</v>
      </c>
      <c r="K391" s="402"/>
    </row>
    <row r="392" spans="1:11" x14ac:dyDescent="0.25">
      <c r="A392" s="395" t="s">
        <v>390</v>
      </c>
      <c r="B392" s="409"/>
      <c r="C392" s="410"/>
      <c r="D392" s="397"/>
      <c r="E392" s="411"/>
      <c r="F392" s="412"/>
      <c r="G392" s="403" t="s">
        <v>26</v>
      </c>
      <c r="H392" s="413">
        <v>0.1</v>
      </c>
      <c r="I392" s="414">
        <v>90</v>
      </c>
      <c r="J392" s="419"/>
      <c r="K392" s="402"/>
    </row>
    <row r="393" spans="1:11" x14ac:dyDescent="0.25">
      <c r="A393" s="395" t="s">
        <v>390</v>
      </c>
      <c r="B393" s="409"/>
      <c r="C393" s="410"/>
      <c r="D393" s="397"/>
      <c r="E393" s="411"/>
      <c r="F393" s="412"/>
      <c r="G393" s="403" t="s">
        <v>27</v>
      </c>
      <c r="H393" s="413">
        <v>0.2</v>
      </c>
      <c r="I393" s="414">
        <v>180</v>
      </c>
      <c r="J393" s="419"/>
      <c r="K393" s="402"/>
    </row>
    <row r="394" spans="1:11" x14ac:dyDescent="0.25">
      <c r="A394" s="395" t="s">
        <v>390</v>
      </c>
      <c r="B394" s="409"/>
      <c r="C394" s="410"/>
      <c r="D394" s="397"/>
      <c r="E394" s="411"/>
      <c r="F394" s="412"/>
      <c r="G394" s="403" t="s">
        <v>57</v>
      </c>
      <c r="H394" s="413">
        <v>0.05</v>
      </c>
      <c r="I394" s="414">
        <v>45</v>
      </c>
      <c r="J394" s="419"/>
      <c r="K394" s="402"/>
    </row>
    <row r="395" spans="1:11" x14ac:dyDescent="0.25">
      <c r="A395" s="395" t="s">
        <v>390</v>
      </c>
      <c r="B395" s="409"/>
      <c r="C395" s="410"/>
      <c r="D395" s="397"/>
      <c r="E395" s="411"/>
      <c r="F395" s="412"/>
      <c r="G395" s="403" t="s">
        <v>364</v>
      </c>
      <c r="H395" s="413">
        <v>0.5</v>
      </c>
      <c r="I395" s="414">
        <v>450</v>
      </c>
      <c r="J395" s="419"/>
      <c r="K395" s="402"/>
    </row>
    <row r="396" spans="1:11" ht="15.75" customHeight="1" x14ac:dyDescent="0.25">
      <c r="A396" s="395" t="s">
        <v>390</v>
      </c>
      <c r="B396" s="409" t="s">
        <v>249</v>
      </c>
      <c r="C396" s="410" t="s">
        <v>450</v>
      </c>
      <c r="D396" s="397" t="s">
        <v>84</v>
      </c>
      <c r="E396" s="411" t="s">
        <v>250</v>
      </c>
      <c r="F396" s="412">
        <v>2.1000000000000001E-2</v>
      </c>
      <c r="G396" s="403" t="s">
        <v>25</v>
      </c>
      <c r="H396" s="413">
        <v>0.15</v>
      </c>
      <c r="I396" s="414">
        <v>90</v>
      </c>
      <c r="J396" s="419">
        <v>600</v>
      </c>
      <c r="K396" s="402"/>
    </row>
    <row r="397" spans="1:11" x14ac:dyDescent="0.25">
      <c r="A397" s="395" t="s">
        <v>390</v>
      </c>
      <c r="B397" s="409"/>
      <c r="C397" s="410"/>
      <c r="D397" s="397"/>
      <c r="E397" s="411"/>
      <c r="F397" s="412"/>
      <c r="G397" s="403" t="s">
        <v>26</v>
      </c>
      <c r="H397" s="413">
        <v>0.1</v>
      </c>
      <c r="I397" s="414">
        <v>60</v>
      </c>
      <c r="J397" s="419"/>
      <c r="K397" s="402"/>
    </row>
    <row r="398" spans="1:11" x14ac:dyDescent="0.25">
      <c r="A398" s="395" t="s">
        <v>390</v>
      </c>
      <c r="B398" s="409"/>
      <c r="C398" s="410"/>
      <c r="D398" s="397"/>
      <c r="E398" s="411"/>
      <c r="F398" s="412"/>
      <c r="G398" s="403" t="s">
        <v>27</v>
      </c>
      <c r="H398" s="413">
        <v>0.2</v>
      </c>
      <c r="I398" s="414">
        <v>120</v>
      </c>
      <c r="J398" s="419"/>
      <c r="K398" s="402"/>
    </row>
    <row r="399" spans="1:11" x14ac:dyDescent="0.25">
      <c r="A399" s="395" t="s">
        <v>390</v>
      </c>
      <c r="B399" s="409"/>
      <c r="C399" s="410"/>
      <c r="D399" s="397"/>
      <c r="E399" s="411"/>
      <c r="F399" s="412"/>
      <c r="G399" s="403" t="s">
        <v>57</v>
      </c>
      <c r="H399" s="413">
        <v>0.05</v>
      </c>
      <c r="I399" s="414">
        <v>30</v>
      </c>
      <c r="J399" s="419"/>
      <c r="K399" s="402"/>
    </row>
    <row r="400" spans="1:11" x14ac:dyDescent="0.25">
      <c r="A400" s="395" t="s">
        <v>390</v>
      </c>
      <c r="B400" s="409"/>
      <c r="C400" s="410"/>
      <c r="D400" s="397"/>
      <c r="E400" s="411"/>
      <c r="F400" s="412"/>
      <c r="G400" s="403" t="s">
        <v>364</v>
      </c>
      <c r="H400" s="413">
        <v>0.5</v>
      </c>
      <c r="I400" s="414">
        <v>300</v>
      </c>
      <c r="J400" s="419"/>
      <c r="K400" s="402"/>
    </row>
    <row r="401" spans="1:11" x14ac:dyDescent="0.25">
      <c r="A401" s="395" t="s">
        <v>390</v>
      </c>
      <c r="B401" s="403"/>
      <c r="C401" s="403" t="s">
        <v>251</v>
      </c>
      <c r="D401" s="404"/>
      <c r="E401" s="407"/>
      <c r="F401" s="403"/>
      <c r="G401" s="407"/>
      <c r="H401" s="403"/>
      <c r="I401" s="403"/>
      <c r="J401" s="403"/>
      <c r="K401" s="402"/>
    </row>
    <row r="402" spans="1:11" ht="15.75" customHeight="1" x14ac:dyDescent="0.25">
      <c r="A402" s="395" t="s">
        <v>390</v>
      </c>
      <c r="B402" s="409" t="s">
        <v>252</v>
      </c>
      <c r="C402" s="410" t="s">
        <v>451</v>
      </c>
      <c r="D402" s="397" t="s">
        <v>215</v>
      </c>
      <c r="E402" s="411" t="s">
        <v>253</v>
      </c>
      <c r="F402" s="412">
        <v>9.1999999999999998E-2</v>
      </c>
      <c r="G402" s="403" t="s">
        <v>25</v>
      </c>
      <c r="H402" s="413">
        <v>0.15</v>
      </c>
      <c r="I402" s="414">
        <v>390</v>
      </c>
      <c r="J402" s="415">
        <v>2600</v>
      </c>
      <c r="K402" s="402"/>
    </row>
    <row r="403" spans="1:11" x14ac:dyDescent="0.25">
      <c r="A403" s="395" t="s">
        <v>390</v>
      </c>
      <c r="B403" s="409"/>
      <c r="C403" s="410"/>
      <c r="D403" s="397"/>
      <c r="E403" s="411"/>
      <c r="F403" s="412"/>
      <c r="G403" s="403" t="s">
        <v>26</v>
      </c>
      <c r="H403" s="413">
        <v>0.1</v>
      </c>
      <c r="I403" s="414">
        <v>260</v>
      </c>
      <c r="J403" s="415"/>
      <c r="K403" s="402"/>
    </row>
    <row r="404" spans="1:11" x14ac:dyDescent="0.25">
      <c r="A404" s="395" t="s">
        <v>390</v>
      </c>
      <c r="B404" s="409"/>
      <c r="C404" s="410"/>
      <c r="D404" s="397"/>
      <c r="E404" s="411"/>
      <c r="F404" s="412"/>
      <c r="G404" s="403" t="s">
        <v>27</v>
      </c>
      <c r="H404" s="413">
        <v>0.2</v>
      </c>
      <c r="I404" s="414">
        <v>520</v>
      </c>
      <c r="J404" s="415"/>
      <c r="K404" s="402"/>
    </row>
    <row r="405" spans="1:11" x14ac:dyDescent="0.25">
      <c r="A405" s="395" t="s">
        <v>390</v>
      </c>
      <c r="B405" s="409"/>
      <c r="C405" s="410"/>
      <c r="D405" s="397"/>
      <c r="E405" s="411"/>
      <c r="F405" s="412"/>
      <c r="G405" s="403" t="s">
        <v>57</v>
      </c>
      <c r="H405" s="413">
        <v>0.05</v>
      </c>
      <c r="I405" s="414">
        <v>130</v>
      </c>
      <c r="J405" s="415"/>
      <c r="K405" s="402"/>
    </row>
    <row r="406" spans="1:11" x14ac:dyDescent="0.25">
      <c r="A406" s="395" t="s">
        <v>390</v>
      </c>
      <c r="B406" s="409"/>
      <c r="C406" s="410"/>
      <c r="D406" s="397"/>
      <c r="E406" s="411"/>
      <c r="F406" s="412"/>
      <c r="G406" s="403" t="s">
        <v>364</v>
      </c>
      <c r="H406" s="413">
        <v>0.5</v>
      </c>
      <c r="I406" s="416">
        <v>1300</v>
      </c>
      <c r="J406" s="415"/>
      <c r="K406" s="402"/>
    </row>
    <row r="407" spans="1:11" ht="15.75" customHeight="1" x14ac:dyDescent="0.25">
      <c r="A407" s="395" t="s">
        <v>390</v>
      </c>
      <c r="B407" s="409" t="s">
        <v>254</v>
      </c>
      <c r="C407" s="410" t="s">
        <v>452</v>
      </c>
      <c r="D407" s="397" t="s">
        <v>215</v>
      </c>
      <c r="E407" s="411" t="s">
        <v>255</v>
      </c>
      <c r="F407" s="412">
        <v>0.12</v>
      </c>
      <c r="G407" s="403" t="s">
        <v>25</v>
      </c>
      <c r="H407" s="413">
        <v>0.15</v>
      </c>
      <c r="I407" s="414">
        <v>510</v>
      </c>
      <c r="J407" s="415">
        <v>3400</v>
      </c>
      <c r="K407" s="402"/>
    </row>
    <row r="408" spans="1:11" x14ac:dyDescent="0.25">
      <c r="A408" s="395" t="s">
        <v>390</v>
      </c>
      <c r="B408" s="409"/>
      <c r="C408" s="410"/>
      <c r="D408" s="397"/>
      <c r="E408" s="411"/>
      <c r="F408" s="412"/>
      <c r="G408" s="403" t="s">
        <v>26</v>
      </c>
      <c r="H408" s="413">
        <v>0.1</v>
      </c>
      <c r="I408" s="414">
        <v>340</v>
      </c>
      <c r="J408" s="415"/>
      <c r="K408" s="402"/>
    </row>
    <row r="409" spans="1:11" x14ac:dyDescent="0.25">
      <c r="A409" s="395" t="s">
        <v>390</v>
      </c>
      <c r="B409" s="409"/>
      <c r="C409" s="410"/>
      <c r="D409" s="397"/>
      <c r="E409" s="411"/>
      <c r="F409" s="412"/>
      <c r="G409" s="403" t="s">
        <v>27</v>
      </c>
      <c r="H409" s="413">
        <v>0.2</v>
      </c>
      <c r="I409" s="414">
        <v>680</v>
      </c>
      <c r="J409" s="415"/>
      <c r="K409" s="402"/>
    </row>
    <row r="410" spans="1:11" x14ac:dyDescent="0.25">
      <c r="A410" s="395" t="s">
        <v>390</v>
      </c>
      <c r="B410" s="409"/>
      <c r="C410" s="410"/>
      <c r="D410" s="397"/>
      <c r="E410" s="411"/>
      <c r="F410" s="412"/>
      <c r="G410" s="403" t="s">
        <v>57</v>
      </c>
      <c r="H410" s="413">
        <v>0.05</v>
      </c>
      <c r="I410" s="414">
        <v>170</v>
      </c>
      <c r="J410" s="415"/>
      <c r="K410" s="402"/>
    </row>
    <row r="411" spans="1:11" x14ac:dyDescent="0.25">
      <c r="A411" s="395" t="s">
        <v>390</v>
      </c>
      <c r="B411" s="409"/>
      <c r="C411" s="410"/>
      <c r="D411" s="397"/>
      <c r="E411" s="411"/>
      <c r="F411" s="412"/>
      <c r="G411" s="403" t="s">
        <v>364</v>
      </c>
      <c r="H411" s="413">
        <v>0.5</v>
      </c>
      <c r="I411" s="416">
        <v>1700</v>
      </c>
      <c r="J411" s="415"/>
      <c r="K411" s="402"/>
    </row>
    <row r="412" spans="1:11" ht="15.75" customHeight="1" x14ac:dyDescent="0.25">
      <c r="A412" s="395" t="s">
        <v>390</v>
      </c>
      <c r="B412" s="409" t="s">
        <v>256</v>
      </c>
      <c r="C412" s="410" t="s">
        <v>453</v>
      </c>
      <c r="D412" s="397" t="s">
        <v>84</v>
      </c>
      <c r="E412" s="411" t="s">
        <v>257</v>
      </c>
      <c r="F412" s="412">
        <v>2.1000000000000001E-2</v>
      </c>
      <c r="G412" s="403" t="s">
        <v>25</v>
      </c>
      <c r="H412" s="413">
        <v>0.15</v>
      </c>
      <c r="I412" s="414">
        <v>90</v>
      </c>
      <c r="J412" s="419">
        <v>600</v>
      </c>
      <c r="K412" s="402"/>
    </row>
    <row r="413" spans="1:11" x14ac:dyDescent="0.25">
      <c r="A413" s="395" t="s">
        <v>390</v>
      </c>
      <c r="B413" s="409"/>
      <c r="C413" s="410"/>
      <c r="D413" s="397"/>
      <c r="E413" s="411"/>
      <c r="F413" s="412"/>
      <c r="G413" s="403" t="s">
        <v>26</v>
      </c>
      <c r="H413" s="413">
        <v>0.1</v>
      </c>
      <c r="I413" s="414">
        <v>60</v>
      </c>
      <c r="J413" s="419"/>
      <c r="K413" s="402"/>
    </row>
    <row r="414" spans="1:11" x14ac:dyDescent="0.25">
      <c r="A414" s="395" t="s">
        <v>390</v>
      </c>
      <c r="B414" s="409"/>
      <c r="C414" s="410"/>
      <c r="D414" s="397"/>
      <c r="E414" s="411"/>
      <c r="F414" s="412"/>
      <c r="G414" s="403" t="s">
        <v>27</v>
      </c>
      <c r="H414" s="413">
        <v>0.2</v>
      </c>
      <c r="I414" s="414">
        <v>120</v>
      </c>
      <c r="J414" s="419"/>
      <c r="K414" s="402"/>
    </row>
    <row r="415" spans="1:11" x14ac:dyDescent="0.25">
      <c r="A415" s="395" t="s">
        <v>390</v>
      </c>
      <c r="B415" s="409"/>
      <c r="C415" s="410"/>
      <c r="D415" s="397"/>
      <c r="E415" s="411"/>
      <c r="F415" s="412"/>
      <c r="G415" s="403" t="s">
        <v>57</v>
      </c>
      <c r="H415" s="413">
        <v>0.05</v>
      </c>
      <c r="I415" s="414">
        <v>30</v>
      </c>
      <c r="J415" s="419"/>
      <c r="K415" s="402"/>
    </row>
    <row r="416" spans="1:11" x14ac:dyDescent="0.25">
      <c r="A416" s="395" t="s">
        <v>390</v>
      </c>
      <c r="B416" s="409"/>
      <c r="C416" s="410"/>
      <c r="D416" s="397"/>
      <c r="E416" s="411"/>
      <c r="F416" s="412"/>
      <c r="G416" s="403" t="s">
        <v>364</v>
      </c>
      <c r="H416" s="413">
        <v>0.5</v>
      </c>
      <c r="I416" s="414">
        <v>300</v>
      </c>
      <c r="J416" s="419"/>
      <c r="K416" s="402"/>
    </row>
    <row r="417" spans="1:11" ht="15.75" customHeight="1" x14ac:dyDescent="0.25">
      <c r="A417" s="395" t="s">
        <v>390</v>
      </c>
      <c r="B417" s="409" t="s">
        <v>258</v>
      </c>
      <c r="C417" s="410" t="s">
        <v>454</v>
      </c>
      <c r="D417" s="397" t="s">
        <v>84</v>
      </c>
      <c r="E417" s="411" t="s">
        <v>259</v>
      </c>
      <c r="F417" s="412">
        <v>2.1000000000000001E-2</v>
      </c>
      <c r="G417" s="403" t="s">
        <v>25</v>
      </c>
      <c r="H417" s="413">
        <v>0.15</v>
      </c>
      <c r="I417" s="414">
        <v>90</v>
      </c>
      <c r="J417" s="419">
        <v>600</v>
      </c>
      <c r="K417" s="402"/>
    </row>
    <row r="418" spans="1:11" x14ac:dyDescent="0.25">
      <c r="A418" s="395" t="s">
        <v>390</v>
      </c>
      <c r="B418" s="409"/>
      <c r="C418" s="410"/>
      <c r="D418" s="397"/>
      <c r="E418" s="411"/>
      <c r="F418" s="412"/>
      <c r="G418" s="403" t="s">
        <v>26</v>
      </c>
      <c r="H418" s="413">
        <v>0.1</v>
      </c>
      <c r="I418" s="414">
        <v>60</v>
      </c>
      <c r="J418" s="419"/>
      <c r="K418" s="402"/>
    </row>
    <row r="419" spans="1:11" x14ac:dyDescent="0.25">
      <c r="A419" s="395" t="s">
        <v>390</v>
      </c>
      <c r="B419" s="409"/>
      <c r="C419" s="410"/>
      <c r="D419" s="397"/>
      <c r="E419" s="411"/>
      <c r="F419" s="412"/>
      <c r="G419" s="403" t="s">
        <v>27</v>
      </c>
      <c r="H419" s="413">
        <v>0.2</v>
      </c>
      <c r="I419" s="414">
        <v>120</v>
      </c>
      <c r="J419" s="419"/>
      <c r="K419" s="402"/>
    </row>
    <row r="420" spans="1:11" x14ac:dyDescent="0.25">
      <c r="A420" s="395" t="s">
        <v>390</v>
      </c>
      <c r="B420" s="409"/>
      <c r="C420" s="410"/>
      <c r="D420" s="397"/>
      <c r="E420" s="411"/>
      <c r="F420" s="412"/>
      <c r="G420" s="403" t="s">
        <v>57</v>
      </c>
      <c r="H420" s="413">
        <v>0.05</v>
      </c>
      <c r="I420" s="414">
        <v>30</v>
      </c>
      <c r="J420" s="419"/>
      <c r="K420" s="402"/>
    </row>
    <row r="421" spans="1:11" x14ac:dyDescent="0.25">
      <c r="A421" s="395" t="s">
        <v>390</v>
      </c>
      <c r="B421" s="409"/>
      <c r="C421" s="410"/>
      <c r="D421" s="397"/>
      <c r="E421" s="411"/>
      <c r="F421" s="412"/>
      <c r="G421" s="403" t="s">
        <v>364</v>
      </c>
      <c r="H421" s="413">
        <v>0.5</v>
      </c>
      <c r="I421" s="414">
        <v>300</v>
      </c>
      <c r="J421" s="419"/>
      <c r="K421" s="402"/>
    </row>
    <row r="422" spans="1:11" ht="15.75" customHeight="1" x14ac:dyDescent="0.25">
      <c r="A422" s="395" t="s">
        <v>390</v>
      </c>
      <c r="B422" s="409" t="s">
        <v>260</v>
      </c>
      <c r="C422" s="410" t="s">
        <v>455</v>
      </c>
      <c r="D422" s="397" t="s">
        <v>84</v>
      </c>
      <c r="E422" s="411" t="s">
        <v>261</v>
      </c>
      <c r="F422" s="412">
        <v>2.8000000000000001E-2</v>
      </c>
      <c r="G422" s="403" t="s">
        <v>25</v>
      </c>
      <c r="H422" s="413">
        <v>0.15</v>
      </c>
      <c r="I422" s="414">
        <v>120</v>
      </c>
      <c r="J422" s="419">
        <v>800</v>
      </c>
      <c r="K422" s="402"/>
    </row>
    <row r="423" spans="1:11" x14ac:dyDescent="0.25">
      <c r="A423" s="395" t="s">
        <v>390</v>
      </c>
      <c r="B423" s="409"/>
      <c r="C423" s="410"/>
      <c r="D423" s="397"/>
      <c r="E423" s="411"/>
      <c r="F423" s="412"/>
      <c r="G423" s="403" t="s">
        <v>26</v>
      </c>
      <c r="H423" s="413">
        <v>0.1</v>
      </c>
      <c r="I423" s="414">
        <v>80</v>
      </c>
      <c r="J423" s="419"/>
      <c r="K423" s="402"/>
    </row>
    <row r="424" spans="1:11" x14ac:dyDescent="0.25">
      <c r="A424" s="395" t="s">
        <v>390</v>
      </c>
      <c r="B424" s="409"/>
      <c r="C424" s="410"/>
      <c r="D424" s="397"/>
      <c r="E424" s="411"/>
      <c r="F424" s="412"/>
      <c r="G424" s="403" t="s">
        <v>27</v>
      </c>
      <c r="H424" s="413">
        <v>0.2</v>
      </c>
      <c r="I424" s="414">
        <v>160</v>
      </c>
      <c r="J424" s="419"/>
      <c r="K424" s="402"/>
    </row>
    <row r="425" spans="1:11" x14ac:dyDescent="0.25">
      <c r="A425" s="395" t="s">
        <v>390</v>
      </c>
      <c r="B425" s="409"/>
      <c r="C425" s="410"/>
      <c r="D425" s="397"/>
      <c r="E425" s="411"/>
      <c r="F425" s="412"/>
      <c r="G425" s="403" t="s">
        <v>57</v>
      </c>
      <c r="H425" s="413">
        <v>0.05</v>
      </c>
      <c r="I425" s="414">
        <v>40</v>
      </c>
      <c r="J425" s="419"/>
      <c r="K425" s="402"/>
    </row>
    <row r="426" spans="1:11" x14ac:dyDescent="0.25">
      <c r="A426" s="395" t="s">
        <v>390</v>
      </c>
      <c r="B426" s="409"/>
      <c r="C426" s="410"/>
      <c r="D426" s="397"/>
      <c r="E426" s="411"/>
      <c r="F426" s="412"/>
      <c r="G426" s="403" t="s">
        <v>364</v>
      </c>
      <c r="H426" s="413">
        <v>0.5</v>
      </c>
      <c r="I426" s="414">
        <v>400</v>
      </c>
      <c r="J426" s="419"/>
      <c r="K426" s="402"/>
    </row>
    <row r="427" spans="1:11" ht="15.75" customHeight="1" x14ac:dyDescent="0.25">
      <c r="A427" s="395" t="s">
        <v>390</v>
      </c>
      <c r="B427" s="409" t="s">
        <v>262</v>
      </c>
      <c r="C427" s="410" t="s">
        <v>456</v>
      </c>
      <c r="D427" s="397" t="s">
        <v>84</v>
      </c>
      <c r="E427" s="411" t="s">
        <v>263</v>
      </c>
      <c r="F427" s="412">
        <v>3.5000000000000003E-2</v>
      </c>
      <c r="G427" s="403" t="s">
        <v>25</v>
      </c>
      <c r="H427" s="413">
        <v>0.15</v>
      </c>
      <c r="I427" s="414">
        <v>150</v>
      </c>
      <c r="J427" s="415">
        <v>1000</v>
      </c>
      <c r="K427" s="402"/>
    </row>
    <row r="428" spans="1:11" x14ac:dyDescent="0.25">
      <c r="A428" s="395" t="s">
        <v>390</v>
      </c>
      <c r="B428" s="409"/>
      <c r="C428" s="410"/>
      <c r="D428" s="397"/>
      <c r="E428" s="411"/>
      <c r="F428" s="412"/>
      <c r="G428" s="403" t="s">
        <v>26</v>
      </c>
      <c r="H428" s="413">
        <v>0.1</v>
      </c>
      <c r="I428" s="414">
        <v>100</v>
      </c>
      <c r="J428" s="415"/>
      <c r="K428" s="402"/>
    </row>
    <row r="429" spans="1:11" x14ac:dyDescent="0.25">
      <c r="A429" s="395" t="s">
        <v>390</v>
      </c>
      <c r="B429" s="409"/>
      <c r="C429" s="410"/>
      <c r="D429" s="397"/>
      <c r="E429" s="411"/>
      <c r="F429" s="412"/>
      <c r="G429" s="403" t="s">
        <v>27</v>
      </c>
      <c r="H429" s="413">
        <v>0.2</v>
      </c>
      <c r="I429" s="414">
        <v>200</v>
      </c>
      <c r="J429" s="415"/>
      <c r="K429" s="402"/>
    </row>
    <row r="430" spans="1:11" x14ac:dyDescent="0.25">
      <c r="A430" s="395" t="s">
        <v>390</v>
      </c>
      <c r="B430" s="409"/>
      <c r="C430" s="410"/>
      <c r="D430" s="397"/>
      <c r="E430" s="411"/>
      <c r="F430" s="412"/>
      <c r="G430" s="403" t="s">
        <v>57</v>
      </c>
      <c r="H430" s="413">
        <v>0.05</v>
      </c>
      <c r="I430" s="414">
        <v>50</v>
      </c>
      <c r="J430" s="415"/>
      <c r="K430" s="402"/>
    </row>
    <row r="431" spans="1:11" x14ac:dyDescent="0.25">
      <c r="A431" s="395" t="s">
        <v>390</v>
      </c>
      <c r="B431" s="409"/>
      <c r="C431" s="410"/>
      <c r="D431" s="397"/>
      <c r="E431" s="411"/>
      <c r="F431" s="412"/>
      <c r="G431" s="403" t="s">
        <v>364</v>
      </c>
      <c r="H431" s="413">
        <v>0.5</v>
      </c>
      <c r="I431" s="414">
        <v>500</v>
      </c>
      <c r="J431" s="415"/>
      <c r="K431" s="402"/>
    </row>
    <row r="432" spans="1:11" ht="15.75" customHeight="1" x14ac:dyDescent="0.25">
      <c r="A432" s="395" t="s">
        <v>390</v>
      </c>
      <c r="B432" s="409" t="s">
        <v>264</v>
      </c>
      <c r="C432" s="410" t="s">
        <v>457</v>
      </c>
      <c r="D432" s="397" t="s">
        <v>84</v>
      </c>
      <c r="E432" s="411" t="s">
        <v>265</v>
      </c>
      <c r="F432" s="412">
        <v>2.5000000000000001E-2</v>
      </c>
      <c r="G432" s="403" t="s">
        <v>25</v>
      </c>
      <c r="H432" s="413">
        <v>0.15</v>
      </c>
      <c r="I432" s="414">
        <v>105</v>
      </c>
      <c r="J432" s="419">
        <v>700</v>
      </c>
      <c r="K432" s="402"/>
    </row>
    <row r="433" spans="1:11" x14ac:dyDescent="0.25">
      <c r="A433" s="395" t="s">
        <v>390</v>
      </c>
      <c r="B433" s="409"/>
      <c r="C433" s="410"/>
      <c r="D433" s="397"/>
      <c r="E433" s="411"/>
      <c r="F433" s="412"/>
      <c r="G433" s="403" t="s">
        <v>26</v>
      </c>
      <c r="H433" s="413">
        <v>0.1</v>
      </c>
      <c r="I433" s="414">
        <v>70</v>
      </c>
      <c r="J433" s="419"/>
      <c r="K433" s="402"/>
    </row>
    <row r="434" spans="1:11" x14ac:dyDescent="0.25">
      <c r="A434" s="395" t="s">
        <v>390</v>
      </c>
      <c r="B434" s="409"/>
      <c r="C434" s="410"/>
      <c r="D434" s="397"/>
      <c r="E434" s="411"/>
      <c r="F434" s="412"/>
      <c r="G434" s="403" t="s">
        <v>27</v>
      </c>
      <c r="H434" s="413">
        <v>0.2</v>
      </c>
      <c r="I434" s="414">
        <v>140</v>
      </c>
      <c r="J434" s="419"/>
      <c r="K434" s="402"/>
    </row>
    <row r="435" spans="1:11" x14ac:dyDescent="0.25">
      <c r="A435" s="395" t="s">
        <v>390</v>
      </c>
      <c r="B435" s="409"/>
      <c r="C435" s="410"/>
      <c r="D435" s="397"/>
      <c r="E435" s="411"/>
      <c r="F435" s="412"/>
      <c r="G435" s="403" t="s">
        <v>57</v>
      </c>
      <c r="H435" s="413">
        <v>0.05</v>
      </c>
      <c r="I435" s="414">
        <v>35</v>
      </c>
      <c r="J435" s="419"/>
      <c r="K435" s="402"/>
    </row>
    <row r="436" spans="1:11" x14ac:dyDescent="0.25">
      <c r="A436" s="395" t="s">
        <v>390</v>
      </c>
      <c r="B436" s="409"/>
      <c r="C436" s="410"/>
      <c r="D436" s="397"/>
      <c r="E436" s="411"/>
      <c r="F436" s="412"/>
      <c r="G436" s="403" t="s">
        <v>364</v>
      </c>
      <c r="H436" s="413">
        <v>0.5</v>
      </c>
      <c r="I436" s="414">
        <v>350</v>
      </c>
      <c r="J436" s="419"/>
      <c r="K436" s="402"/>
    </row>
    <row r="437" spans="1:11" ht="15.75" customHeight="1" x14ac:dyDescent="0.25">
      <c r="A437" s="395" t="s">
        <v>390</v>
      </c>
      <c r="B437" s="409" t="s">
        <v>266</v>
      </c>
      <c r="C437" s="410" t="s">
        <v>458</v>
      </c>
      <c r="D437" s="397" t="s">
        <v>84</v>
      </c>
      <c r="E437" s="411" t="s">
        <v>267</v>
      </c>
      <c r="F437" s="412">
        <v>2.1000000000000001E-2</v>
      </c>
      <c r="G437" s="403" t="s">
        <v>25</v>
      </c>
      <c r="H437" s="413">
        <v>0.15</v>
      </c>
      <c r="I437" s="414">
        <v>90</v>
      </c>
      <c r="J437" s="419">
        <v>600</v>
      </c>
      <c r="K437" s="402"/>
    </row>
    <row r="438" spans="1:11" x14ac:dyDescent="0.25">
      <c r="A438" s="395" t="s">
        <v>390</v>
      </c>
      <c r="B438" s="409"/>
      <c r="C438" s="410"/>
      <c r="D438" s="397"/>
      <c r="E438" s="411"/>
      <c r="F438" s="412"/>
      <c r="G438" s="403" t="s">
        <v>26</v>
      </c>
      <c r="H438" s="413">
        <v>0.1</v>
      </c>
      <c r="I438" s="414">
        <v>60</v>
      </c>
      <c r="J438" s="419"/>
      <c r="K438" s="402"/>
    </row>
    <row r="439" spans="1:11" x14ac:dyDescent="0.25">
      <c r="A439" s="395" t="s">
        <v>390</v>
      </c>
      <c r="B439" s="409"/>
      <c r="C439" s="410"/>
      <c r="D439" s="397"/>
      <c r="E439" s="411"/>
      <c r="F439" s="412"/>
      <c r="G439" s="403" t="s">
        <v>27</v>
      </c>
      <c r="H439" s="413">
        <v>0.2</v>
      </c>
      <c r="I439" s="414">
        <v>120</v>
      </c>
      <c r="J439" s="419"/>
      <c r="K439" s="402"/>
    </row>
    <row r="440" spans="1:11" x14ac:dyDescent="0.25">
      <c r="A440" s="395" t="s">
        <v>390</v>
      </c>
      <c r="B440" s="409"/>
      <c r="C440" s="410"/>
      <c r="D440" s="397"/>
      <c r="E440" s="411"/>
      <c r="F440" s="412"/>
      <c r="G440" s="403" t="s">
        <v>57</v>
      </c>
      <c r="H440" s="413">
        <v>0.05</v>
      </c>
      <c r="I440" s="414">
        <v>30</v>
      </c>
      <c r="J440" s="419"/>
      <c r="K440" s="402"/>
    </row>
    <row r="441" spans="1:11" x14ac:dyDescent="0.25">
      <c r="A441" s="395" t="s">
        <v>390</v>
      </c>
      <c r="B441" s="409"/>
      <c r="C441" s="410"/>
      <c r="D441" s="397"/>
      <c r="E441" s="411"/>
      <c r="F441" s="412"/>
      <c r="G441" s="403" t="s">
        <v>364</v>
      </c>
      <c r="H441" s="413">
        <v>0.5</v>
      </c>
      <c r="I441" s="414">
        <v>300</v>
      </c>
      <c r="J441" s="419"/>
      <c r="K441" s="402"/>
    </row>
    <row r="442" spans="1:11" ht="15.75" customHeight="1" x14ac:dyDescent="0.25">
      <c r="A442" s="395" t="s">
        <v>390</v>
      </c>
      <c r="B442" s="409" t="s">
        <v>268</v>
      </c>
      <c r="C442" s="410" t="s">
        <v>459</v>
      </c>
      <c r="D442" s="397" t="s">
        <v>84</v>
      </c>
      <c r="E442" s="411" t="s">
        <v>269</v>
      </c>
      <c r="F442" s="412">
        <v>2.5000000000000001E-2</v>
      </c>
      <c r="G442" s="403" t="s">
        <v>25</v>
      </c>
      <c r="H442" s="413">
        <v>0.15</v>
      </c>
      <c r="I442" s="414">
        <v>105</v>
      </c>
      <c r="J442" s="419">
        <v>700</v>
      </c>
      <c r="K442" s="402"/>
    </row>
    <row r="443" spans="1:11" x14ac:dyDescent="0.25">
      <c r="A443" s="395" t="s">
        <v>390</v>
      </c>
      <c r="B443" s="409"/>
      <c r="C443" s="410"/>
      <c r="D443" s="397"/>
      <c r="E443" s="411"/>
      <c r="F443" s="412"/>
      <c r="G443" s="403" t="s">
        <v>26</v>
      </c>
      <c r="H443" s="413">
        <v>0.1</v>
      </c>
      <c r="I443" s="414">
        <v>70</v>
      </c>
      <c r="J443" s="419"/>
      <c r="K443" s="402"/>
    </row>
    <row r="444" spans="1:11" x14ac:dyDescent="0.25">
      <c r="A444" s="395" t="s">
        <v>390</v>
      </c>
      <c r="B444" s="409"/>
      <c r="C444" s="410"/>
      <c r="D444" s="397"/>
      <c r="E444" s="411"/>
      <c r="F444" s="412"/>
      <c r="G444" s="403" t="s">
        <v>27</v>
      </c>
      <c r="H444" s="413">
        <v>0.2</v>
      </c>
      <c r="I444" s="414">
        <v>140</v>
      </c>
      <c r="J444" s="419"/>
      <c r="K444" s="402"/>
    </row>
    <row r="445" spans="1:11" x14ac:dyDescent="0.25">
      <c r="A445" s="395" t="s">
        <v>390</v>
      </c>
      <c r="B445" s="409"/>
      <c r="C445" s="410"/>
      <c r="D445" s="397"/>
      <c r="E445" s="411"/>
      <c r="F445" s="412"/>
      <c r="G445" s="403" t="s">
        <v>57</v>
      </c>
      <c r="H445" s="413">
        <v>0.05</v>
      </c>
      <c r="I445" s="414">
        <v>35</v>
      </c>
      <c r="J445" s="419"/>
      <c r="K445" s="402"/>
    </row>
    <row r="446" spans="1:11" x14ac:dyDescent="0.25">
      <c r="A446" s="395" t="s">
        <v>390</v>
      </c>
      <c r="B446" s="409"/>
      <c r="C446" s="410"/>
      <c r="D446" s="397"/>
      <c r="E446" s="411"/>
      <c r="F446" s="412"/>
      <c r="G446" s="403" t="s">
        <v>364</v>
      </c>
      <c r="H446" s="413">
        <v>0.5</v>
      </c>
      <c r="I446" s="414">
        <v>350</v>
      </c>
      <c r="J446" s="419"/>
      <c r="K446" s="402"/>
    </row>
    <row r="447" spans="1:11" ht="15.75" customHeight="1" x14ac:dyDescent="0.25">
      <c r="A447" s="395" t="s">
        <v>390</v>
      </c>
      <c r="B447" s="409" t="s">
        <v>270</v>
      </c>
      <c r="C447" s="410" t="s">
        <v>460</v>
      </c>
      <c r="D447" s="397" t="s">
        <v>84</v>
      </c>
      <c r="E447" s="411" t="s">
        <v>271</v>
      </c>
      <c r="F447" s="426">
        <v>1.7999999999999999E-2</v>
      </c>
      <c r="G447" s="403" t="s">
        <v>25</v>
      </c>
      <c r="H447" s="413">
        <v>0.15</v>
      </c>
      <c r="I447" s="414">
        <v>75</v>
      </c>
      <c r="J447" s="419">
        <v>500</v>
      </c>
      <c r="K447" s="402"/>
    </row>
    <row r="448" spans="1:11" x14ac:dyDescent="0.25">
      <c r="A448" s="395" t="s">
        <v>390</v>
      </c>
      <c r="B448" s="409"/>
      <c r="C448" s="410"/>
      <c r="D448" s="397"/>
      <c r="E448" s="411"/>
      <c r="F448" s="427"/>
      <c r="G448" s="403" t="s">
        <v>26</v>
      </c>
      <c r="H448" s="413">
        <v>0.1</v>
      </c>
      <c r="I448" s="414">
        <v>50</v>
      </c>
      <c r="J448" s="419"/>
      <c r="K448" s="402"/>
    </row>
    <row r="449" spans="1:12" x14ac:dyDescent="0.25">
      <c r="A449" s="395" t="s">
        <v>390</v>
      </c>
      <c r="B449" s="409"/>
      <c r="C449" s="410"/>
      <c r="D449" s="397"/>
      <c r="E449" s="411"/>
      <c r="F449" s="427"/>
      <c r="G449" s="403" t="s">
        <v>27</v>
      </c>
      <c r="H449" s="413">
        <v>0.2</v>
      </c>
      <c r="I449" s="414">
        <v>100</v>
      </c>
      <c r="J449" s="419"/>
      <c r="K449" s="402"/>
    </row>
    <row r="450" spans="1:12" x14ac:dyDescent="0.25">
      <c r="A450" s="395" t="s">
        <v>390</v>
      </c>
      <c r="B450" s="409"/>
      <c r="C450" s="410"/>
      <c r="D450" s="397"/>
      <c r="E450" s="411"/>
      <c r="F450" s="427"/>
      <c r="G450" s="403" t="s">
        <v>57</v>
      </c>
      <c r="H450" s="413">
        <v>0.05</v>
      </c>
      <c r="I450" s="414">
        <v>25</v>
      </c>
      <c r="J450" s="419"/>
      <c r="K450" s="402"/>
    </row>
    <row r="451" spans="1:12" x14ac:dyDescent="0.25">
      <c r="A451" s="395" t="s">
        <v>390</v>
      </c>
      <c r="B451" s="409"/>
      <c r="C451" s="410"/>
      <c r="D451" s="397"/>
      <c r="E451" s="411"/>
      <c r="F451" s="427"/>
      <c r="G451" s="403" t="s">
        <v>364</v>
      </c>
      <c r="H451" s="413">
        <v>0.5</v>
      </c>
      <c r="I451" s="414">
        <v>250</v>
      </c>
      <c r="J451" s="419"/>
      <c r="K451" s="402"/>
    </row>
    <row r="452" spans="1:12" x14ac:dyDescent="0.25">
      <c r="A452" s="395" t="s">
        <v>390</v>
      </c>
      <c r="B452" s="403"/>
      <c r="C452" s="403" t="s">
        <v>272</v>
      </c>
      <c r="D452" s="404"/>
      <c r="E452" s="407"/>
      <c r="F452" s="403"/>
      <c r="G452" s="407"/>
      <c r="H452" s="403"/>
      <c r="I452" s="403"/>
      <c r="J452" s="403"/>
      <c r="K452" s="402"/>
    </row>
    <row r="453" spans="1:12" ht="15.75" customHeight="1" x14ac:dyDescent="0.25">
      <c r="A453" s="395" t="s">
        <v>390</v>
      </c>
      <c r="B453" s="409" t="s">
        <v>273</v>
      </c>
      <c r="C453" s="410" t="s">
        <v>461</v>
      </c>
      <c r="D453" s="397" t="s">
        <v>215</v>
      </c>
      <c r="E453" s="411" t="s">
        <v>274</v>
      </c>
      <c r="F453" s="412">
        <v>9.5000000000000001E-2</v>
      </c>
      <c r="G453" s="403" t="s">
        <v>25</v>
      </c>
      <c r="H453" s="413">
        <v>0.15</v>
      </c>
      <c r="I453" s="414">
        <v>405</v>
      </c>
      <c r="J453" s="415">
        <v>2700</v>
      </c>
      <c r="K453" s="402"/>
    </row>
    <row r="454" spans="1:12" x14ac:dyDescent="0.25">
      <c r="A454" s="395" t="s">
        <v>390</v>
      </c>
      <c r="B454" s="409"/>
      <c r="C454" s="410"/>
      <c r="D454" s="397"/>
      <c r="E454" s="411"/>
      <c r="F454" s="412"/>
      <c r="G454" s="403" t="s">
        <v>26</v>
      </c>
      <c r="H454" s="413">
        <v>0.1</v>
      </c>
      <c r="I454" s="414">
        <v>270</v>
      </c>
      <c r="J454" s="415"/>
      <c r="K454" s="402"/>
    </row>
    <row r="455" spans="1:12" x14ac:dyDescent="0.25">
      <c r="A455" s="395" t="s">
        <v>390</v>
      </c>
      <c r="B455" s="409"/>
      <c r="C455" s="410"/>
      <c r="D455" s="397"/>
      <c r="E455" s="411"/>
      <c r="F455" s="412"/>
      <c r="G455" s="403" t="s">
        <v>27</v>
      </c>
      <c r="H455" s="413">
        <v>0.2</v>
      </c>
      <c r="I455" s="414">
        <v>540</v>
      </c>
      <c r="J455" s="415"/>
      <c r="K455" s="402"/>
    </row>
    <row r="456" spans="1:12" x14ac:dyDescent="0.25">
      <c r="A456" s="395" t="s">
        <v>390</v>
      </c>
      <c r="B456" s="409"/>
      <c r="C456" s="410"/>
      <c r="D456" s="397"/>
      <c r="E456" s="411"/>
      <c r="F456" s="412"/>
      <c r="G456" s="403" t="s">
        <v>57</v>
      </c>
      <c r="H456" s="413">
        <v>0.05</v>
      </c>
      <c r="I456" s="414">
        <v>135</v>
      </c>
      <c r="J456" s="415"/>
      <c r="K456" s="402"/>
    </row>
    <row r="457" spans="1:12" x14ac:dyDescent="0.25">
      <c r="A457" s="395" t="s">
        <v>390</v>
      </c>
      <c r="B457" s="409"/>
      <c r="C457" s="410"/>
      <c r="D457" s="397"/>
      <c r="E457" s="411"/>
      <c r="F457" s="412"/>
      <c r="G457" s="403" t="s">
        <v>364</v>
      </c>
      <c r="H457" s="413">
        <v>0.5</v>
      </c>
      <c r="I457" s="416">
        <v>1350</v>
      </c>
      <c r="J457" s="415"/>
      <c r="K457" s="402"/>
    </row>
    <row r="458" spans="1:12" ht="15.75" customHeight="1" x14ac:dyDescent="0.25">
      <c r="A458" s="395" t="s">
        <v>390</v>
      </c>
      <c r="B458" s="409" t="s">
        <v>275</v>
      </c>
      <c r="C458" s="410" t="s">
        <v>462</v>
      </c>
      <c r="D458" s="397" t="s">
        <v>215</v>
      </c>
      <c r="E458" s="411" t="s">
        <v>276</v>
      </c>
      <c r="F458" s="428">
        <v>0.16500000000000001</v>
      </c>
      <c r="G458" s="403" t="s">
        <v>25</v>
      </c>
      <c r="H458" s="413">
        <v>0.15</v>
      </c>
      <c r="I458" s="414">
        <v>705</v>
      </c>
      <c r="J458" s="415">
        <v>4700</v>
      </c>
      <c r="K458" s="402"/>
    </row>
    <row r="459" spans="1:12" x14ac:dyDescent="0.25">
      <c r="A459" s="395" t="s">
        <v>390</v>
      </c>
      <c r="B459" s="409"/>
      <c r="C459" s="410"/>
      <c r="D459" s="397"/>
      <c r="E459" s="411"/>
      <c r="F459" s="429"/>
      <c r="G459" s="403" t="s">
        <v>26</v>
      </c>
      <c r="H459" s="413">
        <v>0.1</v>
      </c>
      <c r="I459" s="414">
        <v>470</v>
      </c>
      <c r="J459" s="415"/>
      <c r="K459" s="402"/>
    </row>
    <row r="460" spans="1:12" x14ac:dyDescent="0.25">
      <c r="A460" s="395" t="s">
        <v>390</v>
      </c>
      <c r="B460" s="409"/>
      <c r="C460" s="410"/>
      <c r="D460" s="397"/>
      <c r="E460" s="411"/>
      <c r="F460" s="429"/>
      <c r="G460" s="403" t="s">
        <v>27</v>
      </c>
      <c r="H460" s="413">
        <v>0.2</v>
      </c>
      <c r="I460" s="414">
        <v>940</v>
      </c>
      <c r="J460" s="415"/>
      <c r="K460" s="402"/>
    </row>
    <row r="461" spans="1:12" x14ac:dyDescent="0.25">
      <c r="A461" s="395" t="s">
        <v>390</v>
      </c>
      <c r="B461" s="409"/>
      <c r="C461" s="410"/>
      <c r="D461" s="397"/>
      <c r="E461" s="411"/>
      <c r="F461" s="429"/>
      <c r="G461" s="403" t="s">
        <v>57</v>
      </c>
      <c r="H461" s="413">
        <v>0.05</v>
      </c>
      <c r="I461" s="414">
        <v>235</v>
      </c>
      <c r="J461" s="415"/>
      <c r="K461" s="402"/>
    </row>
    <row r="462" spans="1:12" x14ac:dyDescent="0.25">
      <c r="A462" s="395" t="s">
        <v>390</v>
      </c>
      <c r="B462" s="409"/>
      <c r="C462" s="410"/>
      <c r="D462" s="397"/>
      <c r="E462" s="411"/>
      <c r="F462" s="429"/>
      <c r="G462" s="403" t="s">
        <v>364</v>
      </c>
      <c r="H462" s="413">
        <v>0.5</v>
      </c>
      <c r="I462" s="416">
        <v>2350</v>
      </c>
      <c r="J462" s="415"/>
      <c r="K462" s="402"/>
      <c r="L462" s="420">
        <f>+SUM(F381:F462)</f>
        <v>1.0000000000000002</v>
      </c>
    </row>
    <row r="463" spans="1:12" ht="14.25" customHeight="1" x14ac:dyDescent="0.25">
      <c r="A463" s="395" t="s">
        <v>390</v>
      </c>
      <c r="B463" s="397" t="s">
        <v>59</v>
      </c>
      <c r="C463" s="397" t="s">
        <v>404</v>
      </c>
      <c r="D463" s="397" t="s">
        <v>60</v>
      </c>
      <c r="E463" s="397" t="s">
        <v>393</v>
      </c>
      <c r="F463" s="398" t="s">
        <v>394</v>
      </c>
      <c r="G463" s="399" t="s">
        <v>360</v>
      </c>
      <c r="H463" s="399" t="s">
        <v>361</v>
      </c>
      <c r="I463" s="398" t="s">
        <v>17</v>
      </c>
      <c r="J463" s="398" t="s">
        <v>17</v>
      </c>
      <c r="K463" s="400"/>
    </row>
    <row r="464" spans="1:12" x14ac:dyDescent="0.25">
      <c r="A464" s="395" t="s">
        <v>390</v>
      </c>
      <c r="B464" s="397"/>
      <c r="C464" s="397"/>
      <c r="D464" s="397"/>
      <c r="E464" s="397"/>
      <c r="F464" s="398" t="s">
        <v>395</v>
      </c>
      <c r="G464" s="399"/>
      <c r="H464" s="399"/>
      <c r="I464" s="398" t="s">
        <v>396</v>
      </c>
      <c r="J464" s="398" t="s">
        <v>397</v>
      </c>
      <c r="K464" s="400"/>
    </row>
    <row r="465" spans="1:11" x14ac:dyDescent="0.25">
      <c r="A465" s="395" t="s">
        <v>390</v>
      </c>
      <c r="B465" s="397"/>
      <c r="C465" s="397"/>
      <c r="D465" s="397"/>
      <c r="E465" s="397"/>
      <c r="F465" s="401"/>
      <c r="G465" s="399"/>
      <c r="H465" s="399"/>
      <c r="I465" s="401"/>
      <c r="J465" s="398" t="s">
        <v>398</v>
      </c>
      <c r="K465" s="402"/>
    </row>
    <row r="466" spans="1:11" x14ac:dyDescent="0.25">
      <c r="A466" s="395" t="s">
        <v>390</v>
      </c>
      <c r="B466" s="403" t="s">
        <v>277</v>
      </c>
      <c r="C466" s="403" t="s">
        <v>362</v>
      </c>
      <c r="D466" s="404"/>
      <c r="E466" s="403"/>
      <c r="F466" s="413">
        <v>1</v>
      </c>
      <c r="G466" s="403"/>
      <c r="H466" s="403"/>
      <c r="I466" s="406"/>
      <c r="J466" s="403"/>
      <c r="K466" s="402"/>
    </row>
    <row r="467" spans="1:11" x14ac:dyDescent="0.25">
      <c r="A467" s="395" t="s">
        <v>390</v>
      </c>
      <c r="B467" s="403"/>
      <c r="C467" s="403" t="s">
        <v>278</v>
      </c>
      <c r="D467" s="404"/>
      <c r="E467" s="407"/>
      <c r="F467" s="403"/>
      <c r="G467" s="407"/>
      <c r="H467" s="403"/>
      <c r="I467" s="403"/>
      <c r="J467" s="408">
        <v>50300</v>
      </c>
      <c r="K467" s="402"/>
    </row>
    <row r="468" spans="1:11" ht="15.75" customHeight="1" x14ac:dyDescent="0.25">
      <c r="A468" s="395" t="s">
        <v>390</v>
      </c>
      <c r="B468" s="409" t="s">
        <v>279</v>
      </c>
      <c r="C468" s="410" t="s">
        <v>463</v>
      </c>
      <c r="D468" s="397" t="s">
        <v>215</v>
      </c>
      <c r="E468" s="411" t="s">
        <v>280</v>
      </c>
      <c r="F468" s="412">
        <v>7.3999999999999996E-2</v>
      </c>
      <c r="G468" s="403" t="s">
        <v>25</v>
      </c>
      <c r="H468" s="413">
        <v>0.15</v>
      </c>
      <c r="I468" s="414">
        <v>555</v>
      </c>
      <c r="J468" s="415">
        <v>3700</v>
      </c>
      <c r="K468" s="402"/>
    </row>
    <row r="469" spans="1:11" x14ac:dyDescent="0.25">
      <c r="A469" s="395" t="s">
        <v>390</v>
      </c>
      <c r="B469" s="409"/>
      <c r="C469" s="410"/>
      <c r="D469" s="397"/>
      <c r="E469" s="411"/>
      <c r="F469" s="412"/>
      <c r="G469" s="403" t="s">
        <v>26</v>
      </c>
      <c r="H469" s="413">
        <v>0.1</v>
      </c>
      <c r="I469" s="414">
        <v>370</v>
      </c>
      <c r="J469" s="415"/>
      <c r="K469" s="402"/>
    </row>
    <row r="470" spans="1:11" x14ac:dyDescent="0.25">
      <c r="A470" s="395" t="s">
        <v>390</v>
      </c>
      <c r="B470" s="409"/>
      <c r="C470" s="410"/>
      <c r="D470" s="397"/>
      <c r="E470" s="411"/>
      <c r="F470" s="412"/>
      <c r="G470" s="403" t="s">
        <v>27</v>
      </c>
      <c r="H470" s="413">
        <v>0.2</v>
      </c>
      <c r="I470" s="414">
        <v>740</v>
      </c>
      <c r="J470" s="415"/>
      <c r="K470" s="402"/>
    </row>
    <row r="471" spans="1:11" x14ac:dyDescent="0.25">
      <c r="A471" s="395" t="s">
        <v>390</v>
      </c>
      <c r="B471" s="409"/>
      <c r="C471" s="410"/>
      <c r="D471" s="397"/>
      <c r="E471" s="411"/>
      <c r="F471" s="412"/>
      <c r="G471" s="403" t="s">
        <v>57</v>
      </c>
      <c r="H471" s="413">
        <v>0.05</v>
      </c>
      <c r="I471" s="414">
        <v>185</v>
      </c>
      <c r="J471" s="415"/>
      <c r="K471" s="402"/>
    </row>
    <row r="472" spans="1:11" x14ac:dyDescent="0.25">
      <c r="A472" s="395" t="s">
        <v>390</v>
      </c>
      <c r="B472" s="409"/>
      <c r="C472" s="410"/>
      <c r="D472" s="397"/>
      <c r="E472" s="411"/>
      <c r="F472" s="412"/>
      <c r="G472" s="403" t="s">
        <v>364</v>
      </c>
      <c r="H472" s="413">
        <v>0.5</v>
      </c>
      <c r="I472" s="416">
        <v>1850</v>
      </c>
      <c r="J472" s="415"/>
      <c r="K472" s="402"/>
    </row>
    <row r="473" spans="1:11" ht="15.75" customHeight="1" x14ac:dyDescent="0.25">
      <c r="A473" s="395" t="s">
        <v>390</v>
      </c>
      <c r="B473" s="409" t="s">
        <v>281</v>
      </c>
      <c r="C473" s="410" t="s">
        <v>464</v>
      </c>
      <c r="D473" s="397" t="s">
        <v>215</v>
      </c>
      <c r="E473" s="411" t="s">
        <v>282</v>
      </c>
      <c r="F473" s="412">
        <v>0.105</v>
      </c>
      <c r="G473" s="403" t="s">
        <v>25</v>
      </c>
      <c r="H473" s="413">
        <v>0.15</v>
      </c>
      <c r="I473" s="414">
        <v>795</v>
      </c>
      <c r="J473" s="415">
        <v>5300</v>
      </c>
      <c r="K473" s="402"/>
    </row>
    <row r="474" spans="1:11" x14ac:dyDescent="0.25">
      <c r="A474" s="395" t="s">
        <v>390</v>
      </c>
      <c r="B474" s="409"/>
      <c r="C474" s="410"/>
      <c r="D474" s="397"/>
      <c r="E474" s="411"/>
      <c r="F474" s="412"/>
      <c r="G474" s="403" t="s">
        <v>26</v>
      </c>
      <c r="H474" s="413">
        <v>0.1</v>
      </c>
      <c r="I474" s="414">
        <v>530</v>
      </c>
      <c r="J474" s="415"/>
      <c r="K474" s="402"/>
    </row>
    <row r="475" spans="1:11" x14ac:dyDescent="0.25">
      <c r="A475" s="395" t="s">
        <v>390</v>
      </c>
      <c r="B475" s="409"/>
      <c r="C475" s="410"/>
      <c r="D475" s="397"/>
      <c r="E475" s="411"/>
      <c r="F475" s="412"/>
      <c r="G475" s="403" t="s">
        <v>27</v>
      </c>
      <c r="H475" s="413">
        <v>0.2</v>
      </c>
      <c r="I475" s="416">
        <v>1060</v>
      </c>
      <c r="J475" s="415"/>
      <c r="K475" s="402"/>
    </row>
    <row r="476" spans="1:11" x14ac:dyDescent="0.25">
      <c r="A476" s="395" t="s">
        <v>390</v>
      </c>
      <c r="B476" s="409"/>
      <c r="C476" s="410"/>
      <c r="D476" s="397"/>
      <c r="E476" s="411"/>
      <c r="F476" s="412"/>
      <c r="G476" s="403" t="s">
        <v>57</v>
      </c>
      <c r="H476" s="413">
        <v>0.05</v>
      </c>
      <c r="I476" s="414">
        <v>265</v>
      </c>
      <c r="J476" s="415"/>
      <c r="K476" s="402"/>
    </row>
    <row r="477" spans="1:11" x14ac:dyDescent="0.25">
      <c r="A477" s="395" t="s">
        <v>390</v>
      </c>
      <c r="B477" s="409"/>
      <c r="C477" s="410"/>
      <c r="D477" s="397"/>
      <c r="E477" s="411"/>
      <c r="F477" s="412"/>
      <c r="G477" s="403" t="s">
        <v>364</v>
      </c>
      <c r="H477" s="413">
        <v>0.5</v>
      </c>
      <c r="I477" s="416">
        <v>2650</v>
      </c>
      <c r="J477" s="415"/>
      <c r="K477" s="402"/>
    </row>
    <row r="478" spans="1:11" ht="15.75" customHeight="1" x14ac:dyDescent="0.25">
      <c r="A478" s="395" t="s">
        <v>390</v>
      </c>
      <c r="B478" s="409" t="s">
        <v>283</v>
      </c>
      <c r="C478" s="410" t="s">
        <v>465</v>
      </c>
      <c r="D478" s="430" t="s">
        <v>215</v>
      </c>
      <c r="E478" s="411" t="s">
        <v>284</v>
      </c>
      <c r="F478" s="412">
        <v>9.0999999999999998E-2</v>
      </c>
      <c r="G478" s="403" t="s">
        <v>25</v>
      </c>
      <c r="H478" s="413">
        <v>0.15</v>
      </c>
      <c r="I478" s="414">
        <v>690</v>
      </c>
      <c r="J478" s="415">
        <v>4600</v>
      </c>
      <c r="K478" s="402"/>
    </row>
    <row r="479" spans="1:11" x14ac:dyDescent="0.25">
      <c r="A479" s="395" t="s">
        <v>390</v>
      </c>
      <c r="B479" s="409"/>
      <c r="C479" s="410"/>
      <c r="D479" s="430"/>
      <c r="E479" s="411"/>
      <c r="F479" s="412"/>
      <c r="G479" s="403" t="s">
        <v>26</v>
      </c>
      <c r="H479" s="413">
        <v>0.1</v>
      </c>
      <c r="I479" s="414">
        <v>460</v>
      </c>
      <c r="J479" s="415"/>
      <c r="K479" s="402"/>
    </row>
    <row r="480" spans="1:11" x14ac:dyDescent="0.25">
      <c r="A480" s="395" t="s">
        <v>390</v>
      </c>
      <c r="B480" s="409"/>
      <c r="C480" s="410"/>
      <c r="D480" s="430"/>
      <c r="E480" s="411"/>
      <c r="F480" s="412"/>
      <c r="G480" s="403" t="s">
        <v>27</v>
      </c>
      <c r="H480" s="413">
        <v>0.2</v>
      </c>
      <c r="I480" s="414">
        <v>920</v>
      </c>
      <c r="J480" s="415"/>
      <c r="K480" s="402"/>
    </row>
    <row r="481" spans="1:11" x14ac:dyDescent="0.25">
      <c r="A481" s="395" t="s">
        <v>390</v>
      </c>
      <c r="B481" s="409"/>
      <c r="C481" s="410"/>
      <c r="D481" s="430"/>
      <c r="E481" s="411"/>
      <c r="F481" s="412"/>
      <c r="G481" s="403" t="s">
        <v>57</v>
      </c>
      <c r="H481" s="413">
        <v>0.05</v>
      </c>
      <c r="I481" s="414">
        <v>230</v>
      </c>
      <c r="J481" s="415"/>
      <c r="K481" s="402"/>
    </row>
    <row r="482" spans="1:11" x14ac:dyDescent="0.25">
      <c r="A482" s="395" t="s">
        <v>390</v>
      </c>
      <c r="B482" s="409"/>
      <c r="C482" s="410"/>
      <c r="D482" s="430"/>
      <c r="E482" s="411"/>
      <c r="F482" s="412"/>
      <c r="G482" s="403" t="s">
        <v>364</v>
      </c>
      <c r="H482" s="413">
        <v>0.5</v>
      </c>
      <c r="I482" s="416">
        <v>2300</v>
      </c>
      <c r="J482" s="415"/>
      <c r="K482" s="402"/>
    </row>
    <row r="483" spans="1:11" ht="15.75" customHeight="1" x14ac:dyDescent="0.25">
      <c r="A483" s="395" t="s">
        <v>390</v>
      </c>
      <c r="B483" s="409" t="s">
        <v>285</v>
      </c>
      <c r="C483" s="410" t="s">
        <v>465</v>
      </c>
      <c r="D483" s="430" t="s">
        <v>215</v>
      </c>
      <c r="E483" s="411" t="s">
        <v>286</v>
      </c>
      <c r="F483" s="412">
        <v>0.06</v>
      </c>
      <c r="G483" s="403" t="s">
        <v>25</v>
      </c>
      <c r="H483" s="413">
        <v>0.15</v>
      </c>
      <c r="I483" s="414">
        <v>450</v>
      </c>
      <c r="J483" s="415">
        <v>3000</v>
      </c>
      <c r="K483" s="402"/>
    </row>
    <row r="484" spans="1:11" x14ac:dyDescent="0.25">
      <c r="A484" s="395" t="s">
        <v>390</v>
      </c>
      <c r="B484" s="409"/>
      <c r="C484" s="410"/>
      <c r="D484" s="430"/>
      <c r="E484" s="411"/>
      <c r="F484" s="412"/>
      <c r="G484" s="403" t="s">
        <v>26</v>
      </c>
      <c r="H484" s="413">
        <v>0.1</v>
      </c>
      <c r="I484" s="414">
        <v>300</v>
      </c>
      <c r="J484" s="415"/>
      <c r="K484" s="402"/>
    </row>
    <row r="485" spans="1:11" x14ac:dyDescent="0.25">
      <c r="A485" s="395" t="s">
        <v>390</v>
      </c>
      <c r="B485" s="409"/>
      <c r="C485" s="410"/>
      <c r="D485" s="430"/>
      <c r="E485" s="411"/>
      <c r="F485" s="412"/>
      <c r="G485" s="403" t="s">
        <v>27</v>
      </c>
      <c r="H485" s="413">
        <v>0.2</v>
      </c>
      <c r="I485" s="414">
        <v>600</v>
      </c>
      <c r="J485" s="415"/>
      <c r="K485" s="402"/>
    </row>
    <row r="486" spans="1:11" x14ac:dyDescent="0.25">
      <c r="A486" s="395" t="s">
        <v>390</v>
      </c>
      <c r="B486" s="409"/>
      <c r="C486" s="410"/>
      <c r="D486" s="430"/>
      <c r="E486" s="411"/>
      <c r="F486" s="412"/>
      <c r="G486" s="403" t="s">
        <v>57</v>
      </c>
      <c r="H486" s="413">
        <v>0.05</v>
      </c>
      <c r="I486" s="414">
        <v>150</v>
      </c>
      <c r="J486" s="415"/>
      <c r="K486" s="402"/>
    </row>
    <row r="487" spans="1:11" x14ac:dyDescent="0.25">
      <c r="A487" s="395" t="s">
        <v>390</v>
      </c>
      <c r="B487" s="409"/>
      <c r="C487" s="410"/>
      <c r="D487" s="430"/>
      <c r="E487" s="411"/>
      <c r="F487" s="412"/>
      <c r="G487" s="403" t="s">
        <v>364</v>
      </c>
      <c r="H487" s="413">
        <v>0.5</v>
      </c>
      <c r="I487" s="416">
        <v>1500</v>
      </c>
      <c r="J487" s="415"/>
      <c r="K487" s="402"/>
    </row>
    <row r="488" spans="1:11" ht="15.75" customHeight="1" x14ac:dyDescent="0.25">
      <c r="A488" s="395" t="s">
        <v>390</v>
      </c>
      <c r="B488" s="409" t="s">
        <v>287</v>
      </c>
      <c r="C488" s="410" t="s">
        <v>465</v>
      </c>
      <c r="D488" s="397" t="s">
        <v>215</v>
      </c>
      <c r="E488" s="411" t="s">
        <v>288</v>
      </c>
      <c r="F488" s="412">
        <v>0.129</v>
      </c>
      <c r="G488" s="403" t="s">
        <v>25</v>
      </c>
      <c r="H488" s="413">
        <v>0.15</v>
      </c>
      <c r="I488" s="414">
        <v>975</v>
      </c>
      <c r="J488" s="415">
        <v>6500</v>
      </c>
      <c r="K488" s="402"/>
    </row>
    <row r="489" spans="1:11" x14ac:dyDescent="0.25">
      <c r="A489" s="395" t="s">
        <v>390</v>
      </c>
      <c r="B489" s="409"/>
      <c r="C489" s="410"/>
      <c r="D489" s="397"/>
      <c r="E489" s="411"/>
      <c r="F489" s="412"/>
      <c r="G489" s="403" t="s">
        <v>26</v>
      </c>
      <c r="H489" s="413">
        <v>0.1</v>
      </c>
      <c r="I489" s="414">
        <v>650</v>
      </c>
      <c r="J489" s="415"/>
      <c r="K489" s="402"/>
    </row>
    <row r="490" spans="1:11" x14ac:dyDescent="0.25">
      <c r="A490" s="395" t="s">
        <v>390</v>
      </c>
      <c r="B490" s="409"/>
      <c r="C490" s="410"/>
      <c r="D490" s="397"/>
      <c r="E490" s="411"/>
      <c r="F490" s="412"/>
      <c r="G490" s="403" t="s">
        <v>27</v>
      </c>
      <c r="H490" s="413">
        <v>0.2</v>
      </c>
      <c r="I490" s="416">
        <v>1300</v>
      </c>
      <c r="J490" s="415"/>
      <c r="K490" s="402"/>
    </row>
    <row r="491" spans="1:11" x14ac:dyDescent="0.25">
      <c r="A491" s="395" t="s">
        <v>390</v>
      </c>
      <c r="B491" s="409"/>
      <c r="C491" s="410"/>
      <c r="D491" s="397"/>
      <c r="E491" s="411"/>
      <c r="F491" s="412"/>
      <c r="G491" s="403" t="s">
        <v>57</v>
      </c>
      <c r="H491" s="413">
        <v>0.05</v>
      </c>
      <c r="I491" s="414">
        <v>325</v>
      </c>
      <c r="J491" s="415"/>
      <c r="K491" s="402"/>
    </row>
    <row r="492" spans="1:11" x14ac:dyDescent="0.25">
      <c r="A492" s="395" t="s">
        <v>390</v>
      </c>
      <c r="B492" s="409"/>
      <c r="C492" s="410"/>
      <c r="D492" s="397"/>
      <c r="E492" s="411"/>
      <c r="F492" s="412"/>
      <c r="G492" s="403" t="s">
        <v>364</v>
      </c>
      <c r="H492" s="413">
        <v>0.5</v>
      </c>
      <c r="I492" s="416">
        <v>3250</v>
      </c>
      <c r="J492" s="415"/>
      <c r="K492" s="402"/>
    </row>
    <row r="493" spans="1:11" ht="15.75" customHeight="1" x14ac:dyDescent="0.25">
      <c r="A493" s="395" t="s">
        <v>390</v>
      </c>
      <c r="B493" s="409" t="s">
        <v>289</v>
      </c>
      <c r="C493" s="410" t="s">
        <v>465</v>
      </c>
      <c r="D493" s="397" t="s">
        <v>215</v>
      </c>
      <c r="E493" s="411" t="s">
        <v>290</v>
      </c>
      <c r="F493" s="412">
        <v>7.8E-2</v>
      </c>
      <c r="G493" s="403" t="s">
        <v>25</v>
      </c>
      <c r="H493" s="413">
        <v>0.15</v>
      </c>
      <c r="I493" s="414">
        <v>585</v>
      </c>
      <c r="J493" s="415">
        <v>3900</v>
      </c>
      <c r="K493" s="402"/>
    </row>
    <row r="494" spans="1:11" x14ac:dyDescent="0.25">
      <c r="A494" s="395" t="s">
        <v>390</v>
      </c>
      <c r="B494" s="409"/>
      <c r="C494" s="410"/>
      <c r="D494" s="397"/>
      <c r="E494" s="411"/>
      <c r="F494" s="412"/>
      <c r="G494" s="403" t="s">
        <v>26</v>
      </c>
      <c r="H494" s="413">
        <v>0.1</v>
      </c>
      <c r="I494" s="414">
        <v>390</v>
      </c>
      <c r="J494" s="415"/>
      <c r="K494" s="402"/>
    </row>
    <row r="495" spans="1:11" x14ac:dyDescent="0.25">
      <c r="A495" s="395" t="s">
        <v>390</v>
      </c>
      <c r="B495" s="409"/>
      <c r="C495" s="410"/>
      <c r="D495" s="397"/>
      <c r="E495" s="411"/>
      <c r="F495" s="412"/>
      <c r="G495" s="403" t="s">
        <v>27</v>
      </c>
      <c r="H495" s="413">
        <v>0.2</v>
      </c>
      <c r="I495" s="414">
        <v>780</v>
      </c>
      <c r="J495" s="415"/>
      <c r="K495" s="402"/>
    </row>
    <row r="496" spans="1:11" x14ac:dyDescent="0.25">
      <c r="A496" s="395" t="s">
        <v>390</v>
      </c>
      <c r="B496" s="409"/>
      <c r="C496" s="410"/>
      <c r="D496" s="397"/>
      <c r="E496" s="411"/>
      <c r="F496" s="412"/>
      <c r="G496" s="403" t="s">
        <v>57</v>
      </c>
      <c r="H496" s="413">
        <v>0.05</v>
      </c>
      <c r="I496" s="414">
        <v>195</v>
      </c>
      <c r="J496" s="415"/>
      <c r="K496" s="402"/>
    </row>
    <row r="497" spans="1:11" x14ac:dyDescent="0.25">
      <c r="A497" s="395" t="s">
        <v>390</v>
      </c>
      <c r="B497" s="409"/>
      <c r="C497" s="410"/>
      <c r="D497" s="397"/>
      <c r="E497" s="411"/>
      <c r="F497" s="412"/>
      <c r="G497" s="403" t="s">
        <v>364</v>
      </c>
      <c r="H497" s="413">
        <v>0.5</v>
      </c>
      <c r="I497" s="416">
        <v>1950</v>
      </c>
      <c r="J497" s="415"/>
      <c r="K497" s="402"/>
    </row>
    <row r="498" spans="1:11" ht="15.75" customHeight="1" x14ac:dyDescent="0.25">
      <c r="A498" s="395" t="s">
        <v>390</v>
      </c>
      <c r="B498" s="409" t="s">
        <v>291</v>
      </c>
      <c r="C498" s="410" t="s">
        <v>465</v>
      </c>
      <c r="D498" s="397" t="s">
        <v>215</v>
      </c>
      <c r="E498" s="411" t="s">
        <v>292</v>
      </c>
      <c r="F498" s="412">
        <v>8.5000000000000006E-2</v>
      </c>
      <c r="G498" s="403" t="s">
        <v>25</v>
      </c>
      <c r="H498" s="413">
        <v>0.15</v>
      </c>
      <c r="I498" s="414">
        <v>645</v>
      </c>
      <c r="J498" s="415">
        <v>4300</v>
      </c>
      <c r="K498" s="402"/>
    </row>
    <row r="499" spans="1:11" x14ac:dyDescent="0.25">
      <c r="A499" s="395" t="s">
        <v>390</v>
      </c>
      <c r="B499" s="409"/>
      <c r="C499" s="410"/>
      <c r="D499" s="397"/>
      <c r="E499" s="411"/>
      <c r="F499" s="412"/>
      <c r="G499" s="403" t="s">
        <v>26</v>
      </c>
      <c r="H499" s="413">
        <v>0.1</v>
      </c>
      <c r="I499" s="414">
        <v>430</v>
      </c>
      <c r="J499" s="415"/>
      <c r="K499" s="402"/>
    </row>
    <row r="500" spans="1:11" x14ac:dyDescent="0.25">
      <c r="A500" s="395" t="s">
        <v>390</v>
      </c>
      <c r="B500" s="409"/>
      <c r="C500" s="410"/>
      <c r="D500" s="397"/>
      <c r="E500" s="411"/>
      <c r="F500" s="412"/>
      <c r="G500" s="403" t="s">
        <v>27</v>
      </c>
      <c r="H500" s="413">
        <v>0.2</v>
      </c>
      <c r="I500" s="414">
        <v>860</v>
      </c>
      <c r="J500" s="415"/>
      <c r="K500" s="402"/>
    </row>
    <row r="501" spans="1:11" x14ac:dyDescent="0.25">
      <c r="A501" s="395" t="s">
        <v>390</v>
      </c>
      <c r="B501" s="409"/>
      <c r="C501" s="410"/>
      <c r="D501" s="397"/>
      <c r="E501" s="411"/>
      <c r="F501" s="412"/>
      <c r="G501" s="403" t="s">
        <v>57</v>
      </c>
      <c r="H501" s="413">
        <v>0.05</v>
      </c>
      <c r="I501" s="414">
        <v>215</v>
      </c>
      <c r="J501" s="415"/>
      <c r="K501" s="402"/>
    </row>
    <row r="502" spans="1:11" x14ac:dyDescent="0.25">
      <c r="A502" s="395" t="s">
        <v>390</v>
      </c>
      <c r="B502" s="409"/>
      <c r="C502" s="410"/>
      <c r="D502" s="397"/>
      <c r="E502" s="411"/>
      <c r="F502" s="412"/>
      <c r="G502" s="403" t="s">
        <v>364</v>
      </c>
      <c r="H502" s="413">
        <v>0.5</v>
      </c>
      <c r="I502" s="416">
        <v>2150</v>
      </c>
      <c r="J502" s="415"/>
      <c r="K502" s="402"/>
    </row>
    <row r="503" spans="1:11" ht="15.75" customHeight="1" x14ac:dyDescent="0.25">
      <c r="A503" s="395" t="s">
        <v>390</v>
      </c>
      <c r="B503" s="409" t="s">
        <v>293</v>
      </c>
      <c r="C503" s="410" t="s">
        <v>465</v>
      </c>
      <c r="D503" s="397" t="s">
        <v>215</v>
      </c>
      <c r="E503" s="411" t="s">
        <v>294</v>
      </c>
      <c r="F503" s="412">
        <v>9.2999999999999999E-2</v>
      </c>
      <c r="G503" s="403" t="s">
        <v>25</v>
      </c>
      <c r="H503" s="413">
        <v>0.15</v>
      </c>
      <c r="I503" s="414">
        <v>705</v>
      </c>
      <c r="J503" s="415">
        <v>4700</v>
      </c>
      <c r="K503" s="402"/>
    </row>
    <row r="504" spans="1:11" x14ac:dyDescent="0.25">
      <c r="A504" s="395" t="s">
        <v>390</v>
      </c>
      <c r="B504" s="409"/>
      <c r="C504" s="410"/>
      <c r="D504" s="397"/>
      <c r="E504" s="411"/>
      <c r="F504" s="412"/>
      <c r="G504" s="403" t="s">
        <v>26</v>
      </c>
      <c r="H504" s="413">
        <v>0.1</v>
      </c>
      <c r="I504" s="414">
        <v>470</v>
      </c>
      <c r="J504" s="415"/>
      <c r="K504" s="402"/>
    </row>
    <row r="505" spans="1:11" x14ac:dyDescent="0.25">
      <c r="A505" s="395" t="s">
        <v>390</v>
      </c>
      <c r="B505" s="409"/>
      <c r="C505" s="410"/>
      <c r="D505" s="397"/>
      <c r="E505" s="411"/>
      <c r="F505" s="412"/>
      <c r="G505" s="403" t="s">
        <v>27</v>
      </c>
      <c r="H505" s="413">
        <v>0.2</v>
      </c>
      <c r="I505" s="414">
        <v>940</v>
      </c>
      <c r="J505" s="415"/>
      <c r="K505" s="402"/>
    </row>
    <row r="506" spans="1:11" x14ac:dyDescent="0.25">
      <c r="A506" s="395" t="s">
        <v>390</v>
      </c>
      <c r="B506" s="409"/>
      <c r="C506" s="410"/>
      <c r="D506" s="397"/>
      <c r="E506" s="411"/>
      <c r="F506" s="412"/>
      <c r="G506" s="403" t="s">
        <v>57</v>
      </c>
      <c r="H506" s="413">
        <v>0.05</v>
      </c>
      <c r="I506" s="414">
        <v>235</v>
      </c>
      <c r="J506" s="415"/>
      <c r="K506" s="402"/>
    </row>
    <row r="507" spans="1:11" x14ac:dyDescent="0.25">
      <c r="A507" s="395" t="s">
        <v>390</v>
      </c>
      <c r="B507" s="409"/>
      <c r="C507" s="410"/>
      <c r="D507" s="397"/>
      <c r="E507" s="411"/>
      <c r="F507" s="412"/>
      <c r="G507" s="403" t="s">
        <v>364</v>
      </c>
      <c r="H507" s="413">
        <v>0.5</v>
      </c>
      <c r="I507" s="416">
        <v>2350</v>
      </c>
      <c r="J507" s="415"/>
      <c r="K507" s="402"/>
    </row>
    <row r="508" spans="1:11" ht="15.75" customHeight="1" x14ac:dyDescent="0.25">
      <c r="A508" s="395" t="s">
        <v>390</v>
      </c>
      <c r="B508" s="409" t="s">
        <v>295</v>
      </c>
      <c r="C508" s="410" t="s">
        <v>465</v>
      </c>
      <c r="D508" s="397" t="s">
        <v>215</v>
      </c>
      <c r="E508" s="411" t="s">
        <v>296</v>
      </c>
      <c r="F508" s="412">
        <v>0.107</v>
      </c>
      <c r="G508" s="403" t="s">
        <v>25</v>
      </c>
      <c r="H508" s="413">
        <v>0.15</v>
      </c>
      <c r="I508" s="414">
        <v>810</v>
      </c>
      <c r="J508" s="415">
        <v>5400</v>
      </c>
      <c r="K508" s="402"/>
    </row>
    <row r="509" spans="1:11" x14ac:dyDescent="0.25">
      <c r="A509" s="395" t="s">
        <v>390</v>
      </c>
      <c r="B509" s="409"/>
      <c r="C509" s="410"/>
      <c r="D509" s="397"/>
      <c r="E509" s="411"/>
      <c r="F509" s="412"/>
      <c r="G509" s="403" t="s">
        <v>26</v>
      </c>
      <c r="H509" s="413">
        <v>0.1</v>
      </c>
      <c r="I509" s="414">
        <v>540</v>
      </c>
      <c r="J509" s="415"/>
      <c r="K509" s="402"/>
    </row>
    <row r="510" spans="1:11" x14ac:dyDescent="0.25">
      <c r="A510" s="395" t="s">
        <v>390</v>
      </c>
      <c r="B510" s="409"/>
      <c r="C510" s="410"/>
      <c r="D510" s="397"/>
      <c r="E510" s="411"/>
      <c r="F510" s="412"/>
      <c r="G510" s="403" t="s">
        <v>27</v>
      </c>
      <c r="H510" s="413">
        <v>0.2</v>
      </c>
      <c r="I510" s="416">
        <v>1080</v>
      </c>
      <c r="J510" s="415"/>
      <c r="K510" s="402"/>
    </row>
    <row r="511" spans="1:11" x14ac:dyDescent="0.25">
      <c r="A511" s="395" t="s">
        <v>390</v>
      </c>
      <c r="B511" s="409"/>
      <c r="C511" s="410"/>
      <c r="D511" s="397"/>
      <c r="E511" s="411"/>
      <c r="F511" s="412"/>
      <c r="G511" s="403" t="s">
        <v>57</v>
      </c>
      <c r="H511" s="413">
        <v>0.05</v>
      </c>
      <c r="I511" s="414">
        <v>270</v>
      </c>
      <c r="J511" s="415"/>
      <c r="K511" s="402"/>
    </row>
    <row r="512" spans="1:11" x14ac:dyDescent="0.25">
      <c r="A512" s="395" t="s">
        <v>390</v>
      </c>
      <c r="B512" s="409"/>
      <c r="C512" s="410"/>
      <c r="D512" s="397"/>
      <c r="E512" s="411"/>
      <c r="F512" s="412"/>
      <c r="G512" s="403" t="s">
        <v>364</v>
      </c>
      <c r="H512" s="413">
        <v>0.5</v>
      </c>
      <c r="I512" s="416">
        <v>2700</v>
      </c>
      <c r="J512" s="415"/>
      <c r="K512" s="402"/>
    </row>
    <row r="513" spans="1:11" ht="15.75" customHeight="1" x14ac:dyDescent="0.25">
      <c r="A513" s="395" t="s">
        <v>390</v>
      </c>
      <c r="B513" s="409" t="s">
        <v>297</v>
      </c>
      <c r="C513" s="410" t="s">
        <v>465</v>
      </c>
      <c r="D513" s="397" t="s">
        <v>215</v>
      </c>
      <c r="E513" s="411" t="s">
        <v>298</v>
      </c>
      <c r="F513" s="412">
        <v>7.5999999999999998E-2</v>
      </c>
      <c r="G513" s="403" t="s">
        <v>25</v>
      </c>
      <c r="H513" s="413">
        <v>0.15</v>
      </c>
      <c r="I513" s="414">
        <v>570</v>
      </c>
      <c r="J513" s="415">
        <v>3800</v>
      </c>
      <c r="K513" s="402"/>
    </row>
    <row r="514" spans="1:11" x14ac:dyDescent="0.25">
      <c r="A514" s="395" t="s">
        <v>390</v>
      </c>
      <c r="B514" s="409"/>
      <c r="C514" s="410"/>
      <c r="D514" s="397"/>
      <c r="E514" s="411"/>
      <c r="F514" s="412"/>
      <c r="G514" s="403" t="s">
        <v>26</v>
      </c>
      <c r="H514" s="413">
        <v>0.1</v>
      </c>
      <c r="I514" s="414">
        <v>380</v>
      </c>
      <c r="J514" s="415"/>
      <c r="K514" s="402"/>
    </row>
    <row r="515" spans="1:11" x14ac:dyDescent="0.25">
      <c r="A515" s="395" t="s">
        <v>390</v>
      </c>
      <c r="B515" s="409"/>
      <c r="C515" s="410"/>
      <c r="D515" s="397"/>
      <c r="E515" s="411"/>
      <c r="F515" s="412"/>
      <c r="G515" s="403" t="s">
        <v>27</v>
      </c>
      <c r="H515" s="413">
        <v>0.2</v>
      </c>
      <c r="I515" s="414">
        <v>760</v>
      </c>
      <c r="J515" s="415"/>
      <c r="K515" s="402"/>
    </row>
    <row r="516" spans="1:11" x14ac:dyDescent="0.25">
      <c r="A516" s="395" t="s">
        <v>390</v>
      </c>
      <c r="B516" s="409"/>
      <c r="C516" s="410"/>
      <c r="D516" s="397"/>
      <c r="E516" s="411"/>
      <c r="F516" s="412"/>
      <c r="G516" s="403" t="s">
        <v>57</v>
      </c>
      <c r="H516" s="413">
        <v>0.05</v>
      </c>
      <c r="I516" s="414">
        <v>190</v>
      </c>
      <c r="J516" s="415"/>
      <c r="K516" s="402"/>
    </row>
    <row r="517" spans="1:11" x14ac:dyDescent="0.25">
      <c r="A517" s="395" t="s">
        <v>390</v>
      </c>
      <c r="B517" s="409"/>
      <c r="C517" s="410"/>
      <c r="D517" s="397"/>
      <c r="E517" s="411"/>
      <c r="F517" s="412"/>
      <c r="G517" s="403" t="s">
        <v>364</v>
      </c>
      <c r="H517" s="413">
        <v>0.5</v>
      </c>
      <c r="I517" s="416">
        <v>1900</v>
      </c>
      <c r="J517" s="415"/>
      <c r="K517" s="402"/>
    </row>
    <row r="518" spans="1:11" x14ac:dyDescent="0.25">
      <c r="A518" s="395" t="s">
        <v>390</v>
      </c>
      <c r="B518" s="409" t="s">
        <v>299</v>
      </c>
      <c r="C518" s="410" t="s">
        <v>466</v>
      </c>
      <c r="D518" s="397" t="s">
        <v>215</v>
      </c>
      <c r="E518" s="411" t="s">
        <v>300</v>
      </c>
      <c r="F518" s="412">
        <v>4.2000000000000003E-2</v>
      </c>
      <c r="G518" s="403" t="s">
        <v>25</v>
      </c>
      <c r="H518" s="413">
        <v>0.15</v>
      </c>
      <c r="I518" s="414">
        <v>315</v>
      </c>
      <c r="J518" s="415">
        <v>2100</v>
      </c>
      <c r="K518" s="402"/>
    </row>
    <row r="519" spans="1:11" x14ac:dyDescent="0.25">
      <c r="A519" s="395" t="s">
        <v>390</v>
      </c>
      <c r="B519" s="409"/>
      <c r="C519" s="410"/>
      <c r="D519" s="397"/>
      <c r="E519" s="411"/>
      <c r="F519" s="412"/>
      <c r="G519" s="403" t="s">
        <v>26</v>
      </c>
      <c r="H519" s="413">
        <v>0.1</v>
      </c>
      <c r="I519" s="414">
        <v>210</v>
      </c>
      <c r="J519" s="415"/>
      <c r="K519" s="402"/>
    </row>
    <row r="520" spans="1:11" x14ac:dyDescent="0.25">
      <c r="A520" s="395" t="s">
        <v>390</v>
      </c>
      <c r="B520" s="409"/>
      <c r="C520" s="410"/>
      <c r="D520" s="397"/>
      <c r="E520" s="411"/>
      <c r="F520" s="412"/>
      <c r="G520" s="403" t="s">
        <v>27</v>
      </c>
      <c r="H520" s="413">
        <v>0.2</v>
      </c>
      <c r="I520" s="414">
        <v>420</v>
      </c>
      <c r="J520" s="415"/>
      <c r="K520" s="402"/>
    </row>
    <row r="521" spans="1:11" x14ac:dyDescent="0.25">
      <c r="A521" s="395" t="s">
        <v>390</v>
      </c>
      <c r="B521" s="409"/>
      <c r="C521" s="410"/>
      <c r="D521" s="397"/>
      <c r="E521" s="411"/>
      <c r="F521" s="412"/>
      <c r="G521" s="403" t="s">
        <v>57</v>
      </c>
      <c r="H521" s="413">
        <v>0.05</v>
      </c>
      <c r="I521" s="414">
        <v>105</v>
      </c>
      <c r="J521" s="415"/>
      <c r="K521" s="402"/>
    </row>
    <row r="522" spans="1:11" x14ac:dyDescent="0.25">
      <c r="A522" s="395" t="s">
        <v>390</v>
      </c>
      <c r="B522" s="409"/>
      <c r="C522" s="410"/>
      <c r="D522" s="397"/>
      <c r="E522" s="411"/>
      <c r="F522" s="412"/>
      <c r="G522" s="403" t="s">
        <v>364</v>
      </c>
      <c r="H522" s="413">
        <v>0.5</v>
      </c>
      <c r="I522" s="416">
        <v>1050</v>
      </c>
      <c r="J522" s="415"/>
      <c r="K522" s="402"/>
    </row>
    <row r="523" spans="1:11" ht="15.75" customHeight="1" x14ac:dyDescent="0.25">
      <c r="A523" s="395" t="s">
        <v>390</v>
      </c>
      <c r="B523" s="409" t="s">
        <v>301</v>
      </c>
      <c r="C523" s="410" t="s">
        <v>467</v>
      </c>
      <c r="D523" s="397" t="s">
        <v>84</v>
      </c>
      <c r="E523" s="411" t="s">
        <v>302</v>
      </c>
      <c r="F523" s="412">
        <v>0.01</v>
      </c>
      <c r="G523" s="403" t="s">
        <v>25</v>
      </c>
      <c r="H523" s="413">
        <v>0.15</v>
      </c>
      <c r="I523" s="414">
        <v>75</v>
      </c>
      <c r="J523" s="419">
        <v>500</v>
      </c>
      <c r="K523" s="402"/>
    </row>
    <row r="524" spans="1:11" x14ac:dyDescent="0.25">
      <c r="A524" s="395" t="s">
        <v>390</v>
      </c>
      <c r="B524" s="409"/>
      <c r="C524" s="410"/>
      <c r="D524" s="397"/>
      <c r="E524" s="411"/>
      <c r="F524" s="412"/>
      <c r="G524" s="403" t="s">
        <v>26</v>
      </c>
      <c r="H524" s="413">
        <v>0.1</v>
      </c>
      <c r="I524" s="414">
        <v>50</v>
      </c>
      <c r="J524" s="419"/>
      <c r="K524" s="402"/>
    </row>
    <row r="525" spans="1:11" x14ac:dyDescent="0.25">
      <c r="A525" s="395" t="s">
        <v>390</v>
      </c>
      <c r="B525" s="409"/>
      <c r="C525" s="410"/>
      <c r="D525" s="397"/>
      <c r="E525" s="411"/>
      <c r="F525" s="412"/>
      <c r="G525" s="403" t="s">
        <v>27</v>
      </c>
      <c r="H525" s="413">
        <v>0.2</v>
      </c>
      <c r="I525" s="414">
        <v>100</v>
      </c>
      <c r="J525" s="419"/>
      <c r="K525" s="402"/>
    </row>
    <row r="526" spans="1:11" x14ac:dyDescent="0.25">
      <c r="A526" s="395" t="s">
        <v>390</v>
      </c>
      <c r="B526" s="409"/>
      <c r="C526" s="410"/>
      <c r="D526" s="397"/>
      <c r="E526" s="411"/>
      <c r="F526" s="412"/>
      <c r="G526" s="403" t="s">
        <v>57</v>
      </c>
      <c r="H526" s="413">
        <v>0.05</v>
      </c>
      <c r="I526" s="414">
        <v>25</v>
      </c>
      <c r="J526" s="419"/>
      <c r="K526" s="402"/>
    </row>
    <row r="527" spans="1:11" x14ac:dyDescent="0.25">
      <c r="A527" s="395" t="s">
        <v>390</v>
      </c>
      <c r="B527" s="409"/>
      <c r="C527" s="410"/>
      <c r="D527" s="397"/>
      <c r="E527" s="411"/>
      <c r="F527" s="412"/>
      <c r="G527" s="403" t="s">
        <v>364</v>
      </c>
      <c r="H527" s="413">
        <v>0.5</v>
      </c>
      <c r="I527" s="414">
        <v>250</v>
      </c>
      <c r="J527" s="419"/>
      <c r="K527" s="402"/>
    </row>
    <row r="528" spans="1:11" ht="15.75" customHeight="1" x14ac:dyDescent="0.25">
      <c r="A528" s="395" t="s">
        <v>390</v>
      </c>
      <c r="B528" s="409" t="s">
        <v>303</v>
      </c>
      <c r="C528" s="410" t="s">
        <v>468</v>
      </c>
      <c r="D528" s="397" t="s">
        <v>84</v>
      </c>
      <c r="E528" s="411" t="s">
        <v>304</v>
      </c>
      <c r="F528" s="412">
        <v>1.2E-2</v>
      </c>
      <c r="G528" s="403" t="s">
        <v>25</v>
      </c>
      <c r="H528" s="413">
        <v>0.15</v>
      </c>
      <c r="I528" s="414">
        <v>90</v>
      </c>
      <c r="J528" s="419">
        <v>600</v>
      </c>
      <c r="K528" s="402"/>
    </row>
    <row r="529" spans="1:11" x14ac:dyDescent="0.25">
      <c r="A529" s="395" t="s">
        <v>390</v>
      </c>
      <c r="B529" s="409"/>
      <c r="C529" s="410"/>
      <c r="D529" s="397"/>
      <c r="E529" s="411"/>
      <c r="F529" s="412"/>
      <c r="G529" s="403" t="s">
        <v>26</v>
      </c>
      <c r="H529" s="413">
        <v>0.1</v>
      </c>
      <c r="I529" s="414">
        <v>60</v>
      </c>
      <c r="J529" s="419"/>
      <c r="K529" s="402"/>
    </row>
    <row r="530" spans="1:11" x14ac:dyDescent="0.25">
      <c r="A530" s="395" t="s">
        <v>390</v>
      </c>
      <c r="B530" s="409"/>
      <c r="C530" s="410"/>
      <c r="D530" s="397"/>
      <c r="E530" s="411"/>
      <c r="F530" s="412"/>
      <c r="G530" s="403" t="s">
        <v>27</v>
      </c>
      <c r="H530" s="413">
        <v>0.2</v>
      </c>
      <c r="I530" s="414">
        <v>120</v>
      </c>
      <c r="J530" s="419"/>
      <c r="K530" s="402"/>
    </row>
    <row r="531" spans="1:11" x14ac:dyDescent="0.25">
      <c r="A531" s="395" t="s">
        <v>390</v>
      </c>
      <c r="B531" s="409"/>
      <c r="C531" s="410"/>
      <c r="D531" s="397"/>
      <c r="E531" s="411"/>
      <c r="F531" s="412"/>
      <c r="G531" s="403" t="s">
        <v>57</v>
      </c>
      <c r="H531" s="413">
        <v>0.05</v>
      </c>
      <c r="I531" s="414">
        <v>30</v>
      </c>
      <c r="J531" s="419"/>
      <c r="K531" s="402"/>
    </row>
    <row r="532" spans="1:11" x14ac:dyDescent="0.25">
      <c r="A532" s="395" t="s">
        <v>390</v>
      </c>
      <c r="B532" s="409"/>
      <c r="C532" s="410"/>
      <c r="D532" s="397"/>
      <c r="E532" s="411"/>
      <c r="F532" s="412"/>
      <c r="G532" s="403" t="s">
        <v>364</v>
      </c>
      <c r="H532" s="413">
        <v>0.5</v>
      </c>
      <c r="I532" s="414">
        <v>300</v>
      </c>
      <c r="J532" s="419"/>
      <c r="K532" s="402"/>
    </row>
    <row r="533" spans="1:11" ht="15.75" customHeight="1" x14ac:dyDescent="0.25">
      <c r="A533" s="395" t="s">
        <v>390</v>
      </c>
      <c r="B533" s="409" t="s">
        <v>305</v>
      </c>
      <c r="C533" s="410" t="s">
        <v>469</v>
      </c>
      <c r="D533" s="397" t="s">
        <v>84</v>
      </c>
      <c r="E533" s="411" t="s">
        <v>306</v>
      </c>
      <c r="F533" s="412">
        <v>0.01</v>
      </c>
      <c r="G533" s="403" t="s">
        <v>25</v>
      </c>
      <c r="H533" s="413">
        <v>0.15</v>
      </c>
      <c r="I533" s="414">
        <v>75</v>
      </c>
      <c r="J533" s="419">
        <v>500</v>
      </c>
      <c r="K533" s="402"/>
    </row>
    <row r="534" spans="1:11" x14ac:dyDescent="0.25">
      <c r="A534" s="395" t="s">
        <v>390</v>
      </c>
      <c r="B534" s="409"/>
      <c r="C534" s="410"/>
      <c r="D534" s="397"/>
      <c r="E534" s="411"/>
      <c r="F534" s="412"/>
      <c r="G534" s="403" t="s">
        <v>26</v>
      </c>
      <c r="H534" s="413">
        <v>0.1</v>
      </c>
      <c r="I534" s="414">
        <v>50</v>
      </c>
      <c r="J534" s="419"/>
      <c r="K534" s="402"/>
    </row>
    <row r="535" spans="1:11" x14ac:dyDescent="0.25">
      <c r="A535" s="395" t="s">
        <v>390</v>
      </c>
      <c r="B535" s="409"/>
      <c r="C535" s="410"/>
      <c r="D535" s="397"/>
      <c r="E535" s="411"/>
      <c r="F535" s="412"/>
      <c r="G535" s="403" t="s">
        <v>27</v>
      </c>
      <c r="H535" s="413">
        <v>0.2</v>
      </c>
      <c r="I535" s="414">
        <v>100</v>
      </c>
      <c r="J535" s="419"/>
      <c r="K535" s="402"/>
    </row>
    <row r="536" spans="1:11" x14ac:dyDescent="0.25">
      <c r="A536" s="395" t="s">
        <v>390</v>
      </c>
      <c r="B536" s="409"/>
      <c r="C536" s="410"/>
      <c r="D536" s="397"/>
      <c r="E536" s="411"/>
      <c r="F536" s="412"/>
      <c r="G536" s="403" t="s">
        <v>57</v>
      </c>
      <c r="H536" s="413">
        <v>0.05</v>
      </c>
      <c r="I536" s="414">
        <v>25</v>
      </c>
      <c r="J536" s="419"/>
      <c r="K536" s="402"/>
    </row>
    <row r="537" spans="1:11" x14ac:dyDescent="0.25">
      <c r="A537" s="395" t="s">
        <v>390</v>
      </c>
      <c r="B537" s="409"/>
      <c r="C537" s="410"/>
      <c r="D537" s="397"/>
      <c r="E537" s="411"/>
      <c r="F537" s="412"/>
      <c r="G537" s="403" t="s">
        <v>364</v>
      </c>
      <c r="H537" s="413">
        <v>0.5</v>
      </c>
      <c r="I537" s="414">
        <v>250</v>
      </c>
      <c r="J537" s="419"/>
      <c r="K537" s="402"/>
    </row>
    <row r="538" spans="1:11" ht="15.75" customHeight="1" x14ac:dyDescent="0.25">
      <c r="A538" s="395" t="s">
        <v>390</v>
      </c>
      <c r="B538" s="409" t="s">
        <v>307</v>
      </c>
      <c r="C538" s="410" t="s">
        <v>470</v>
      </c>
      <c r="D538" s="397" t="s">
        <v>84</v>
      </c>
      <c r="E538" s="411" t="s">
        <v>308</v>
      </c>
      <c r="F538" s="412">
        <v>1.7999999999999999E-2</v>
      </c>
      <c r="G538" s="403" t="s">
        <v>25</v>
      </c>
      <c r="H538" s="413">
        <v>0.15</v>
      </c>
      <c r="I538" s="414">
        <v>135</v>
      </c>
      <c r="J538" s="419">
        <v>900</v>
      </c>
      <c r="K538" s="402"/>
    </row>
    <row r="539" spans="1:11" x14ac:dyDescent="0.25">
      <c r="A539" s="395" t="s">
        <v>390</v>
      </c>
      <c r="B539" s="409"/>
      <c r="C539" s="410"/>
      <c r="D539" s="397"/>
      <c r="E539" s="411"/>
      <c r="F539" s="412"/>
      <c r="G539" s="403" t="s">
        <v>26</v>
      </c>
      <c r="H539" s="413">
        <v>0.1</v>
      </c>
      <c r="I539" s="414">
        <v>90</v>
      </c>
      <c r="J539" s="419"/>
      <c r="K539" s="402"/>
    </row>
    <row r="540" spans="1:11" x14ac:dyDescent="0.25">
      <c r="A540" s="395" t="s">
        <v>390</v>
      </c>
      <c r="B540" s="409"/>
      <c r="C540" s="410"/>
      <c r="D540" s="397"/>
      <c r="E540" s="411"/>
      <c r="F540" s="412"/>
      <c r="G540" s="403" t="s">
        <v>27</v>
      </c>
      <c r="H540" s="413">
        <v>0.2</v>
      </c>
      <c r="I540" s="414">
        <v>180</v>
      </c>
      <c r="J540" s="419"/>
      <c r="K540" s="402"/>
    </row>
    <row r="541" spans="1:11" x14ac:dyDescent="0.25">
      <c r="A541" s="395" t="s">
        <v>390</v>
      </c>
      <c r="B541" s="409"/>
      <c r="C541" s="410"/>
      <c r="D541" s="397"/>
      <c r="E541" s="411"/>
      <c r="F541" s="412"/>
      <c r="G541" s="403" t="s">
        <v>57</v>
      </c>
      <c r="H541" s="413">
        <v>0.05</v>
      </c>
      <c r="I541" s="414">
        <v>45</v>
      </c>
      <c r="J541" s="419"/>
      <c r="K541" s="402"/>
    </row>
    <row r="542" spans="1:11" x14ac:dyDescent="0.25">
      <c r="A542" s="395" t="s">
        <v>390</v>
      </c>
      <c r="B542" s="409"/>
      <c r="C542" s="410"/>
      <c r="D542" s="397"/>
      <c r="E542" s="411"/>
      <c r="F542" s="412"/>
      <c r="G542" s="403" t="s">
        <v>364</v>
      </c>
      <c r="H542" s="413">
        <v>0.5</v>
      </c>
      <c r="I542" s="414">
        <v>450</v>
      </c>
      <c r="J542" s="419"/>
      <c r="K542" s="402"/>
    </row>
    <row r="543" spans="1:11" ht="15.75" customHeight="1" x14ac:dyDescent="0.25">
      <c r="A543" s="395" t="s">
        <v>390</v>
      </c>
      <c r="B543" s="409" t="s">
        <v>309</v>
      </c>
      <c r="C543" s="410" t="s">
        <v>471</v>
      </c>
      <c r="D543" s="397" t="s">
        <v>84</v>
      </c>
      <c r="E543" s="411" t="s">
        <v>310</v>
      </c>
      <c r="F543" s="412">
        <v>0.01</v>
      </c>
      <c r="G543" s="403" t="s">
        <v>25</v>
      </c>
      <c r="H543" s="413">
        <v>0.15</v>
      </c>
      <c r="I543" s="414">
        <v>75</v>
      </c>
      <c r="J543" s="419">
        <v>500</v>
      </c>
      <c r="K543" s="402"/>
    </row>
    <row r="544" spans="1:11" x14ac:dyDescent="0.25">
      <c r="A544" s="395" t="s">
        <v>390</v>
      </c>
      <c r="B544" s="409"/>
      <c r="C544" s="410"/>
      <c r="D544" s="397"/>
      <c r="E544" s="411"/>
      <c r="F544" s="412"/>
      <c r="G544" s="403" t="s">
        <v>26</v>
      </c>
      <c r="H544" s="413">
        <v>0.1</v>
      </c>
      <c r="I544" s="414">
        <v>50</v>
      </c>
      <c r="J544" s="419"/>
      <c r="K544" s="402"/>
    </row>
    <row r="545" spans="1:12" x14ac:dyDescent="0.25">
      <c r="A545" s="395" t="s">
        <v>390</v>
      </c>
      <c r="B545" s="409"/>
      <c r="C545" s="410"/>
      <c r="D545" s="397"/>
      <c r="E545" s="411"/>
      <c r="F545" s="412"/>
      <c r="G545" s="403" t="s">
        <v>27</v>
      </c>
      <c r="H545" s="413">
        <v>0.2</v>
      </c>
      <c r="I545" s="414">
        <v>100</v>
      </c>
      <c r="J545" s="419"/>
      <c r="K545" s="402"/>
    </row>
    <row r="546" spans="1:12" x14ac:dyDescent="0.25">
      <c r="A546" s="395" t="s">
        <v>390</v>
      </c>
      <c r="B546" s="409"/>
      <c r="C546" s="410"/>
      <c r="D546" s="397"/>
      <c r="E546" s="411"/>
      <c r="F546" s="412"/>
      <c r="G546" s="403" t="s">
        <v>57</v>
      </c>
      <c r="H546" s="413">
        <v>0.05</v>
      </c>
      <c r="I546" s="414">
        <v>25</v>
      </c>
      <c r="J546" s="419"/>
      <c r="K546" s="402"/>
    </row>
    <row r="547" spans="1:12" x14ac:dyDescent="0.25">
      <c r="A547" s="395" t="s">
        <v>390</v>
      </c>
      <c r="B547" s="409"/>
      <c r="C547" s="410"/>
      <c r="D547" s="397"/>
      <c r="E547" s="411"/>
      <c r="F547" s="412"/>
      <c r="G547" s="403" t="s">
        <v>364</v>
      </c>
      <c r="H547" s="413">
        <v>0.5</v>
      </c>
      <c r="I547" s="414">
        <v>250</v>
      </c>
      <c r="J547" s="419"/>
      <c r="K547" s="402"/>
      <c r="L547" s="420">
        <f>+SUM(F468:F547)</f>
        <v>1</v>
      </c>
    </row>
    <row r="548" spans="1:12" ht="15" customHeight="1" x14ac:dyDescent="0.25">
      <c r="A548" s="395" t="s">
        <v>390</v>
      </c>
      <c r="B548" s="397" t="s">
        <v>59</v>
      </c>
      <c r="C548" s="397" t="s">
        <v>404</v>
      </c>
      <c r="D548" s="397" t="s">
        <v>60</v>
      </c>
      <c r="E548" s="397" t="s">
        <v>393</v>
      </c>
      <c r="F548" s="398" t="s">
        <v>394</v>
      </c>
      <c r="G548" s="399" t="s">
        <v>360</v>
      </c>
      <c r="H548" s="399" t="s">
        <v>361</v>
      </c>
      <c r="I548" s="398" t="s">
        <v>17</v>
      </c>
      <c r="J548" s="398" t="s">
        <v>17</v>
      </c>
      <c r="K548" s="400"/>
    </row>
    <row r="549" spans="1:12" x14ac:dyDescent="0.25">
      <c r="A549" s="395" t="s">
        <v>390</v>
      </c>
      <c r="B549" s="397"/>
      <c r="C549" s="397"/>
      <c r="D549" s="397"/>
      <c r="E549" s="397"/>
      <c r="F549" s="398" t="s">
        <v>395</v>
      </c>
      <c r="G549" s="399"/>
      <c r="H549" s="399"/>
      <c r="I549" s="398" t="s">
        <v>396</v>
      </c>
      <c r="J549" s="398" t="s">
        <v>397</v>
      </c>
      <c r="K549" s="400"/>
    </row>
    <row r="550" spans="1:12" x14ac:dyDescent="0.25">
      <c r="A550" s="395" t="s">
        <v>390</v>
      </c>
      <c r="B550" s="397"/>
      <c r="C550" s="397"/>
      <c r="D550" s="397"/>
      <c r="E550" s="397"/>
      <c r="F550" s="401"/>
      <c r="G550" s="399"/>
      <c r="H550" s="399"/>
      <c r="I550" s="401"/>
      <c r="J550" s="398" t="s">
        <v>398</v>
      </c>
      <c r="K550" s="402"/>
    </row>
    <row r="551" spans="1:12" x14ac:dyDescent="0.25">
      <c r="A551" s="395" t="s">
        <v>390</v>
      </c>
      <c r="B551" s="403" t="s">
        <v>311</v>
      </c>
      <c r="C551" s="403" t="s">
        <v>362</v>
      </c>
      <c r="D551" s="403"/>
      <c r="E551" s="403"/>
      <c r="F551" s="413">
        <v>1</v>
      </c>
      <c r="G551" s="403"/>
      <c r="H551" s="403"/>
      <c r="I551" s="406"/>
      <c r="J551" s="403"/>
      <c r="K551" s="402"/>
    </row>
    <row r="552" spans="1:12" x14ac:dyDescent="0.25">
      <c r="A552" s="395" t="s">
        <v>390</v>
      </c>
      <c r="B552" s="403"/>
      <c r="C552" s="403" t="s">
        <v>312</v>
      </c>
      <c r="D552" s="404"/>
      <c r="E552" s="407"/>
      <c r="F552" s="403"/>
      <c r="G552" s="407"/>
      <c r="H552" s="403"/>
      <c r="I552" s="403"/>
      <c r="J552" s="408">
        <v>25700</v>
      </c>
      <c r="K552" s="402"/>
    </row>
    <row r="553" spans="1:12" ht="15.75" customHeight="1" x14ac:dyDescent="0.25">
      <c r="A553" s="395" t="s">
        <v>390</v>
      </c>
      <c r="B553" s="409" t="s">
        <v>313</v>
      </c>
      <c r="C553" s="410" t="s">
        <v>472</v>
      </c>
      <c r="D553" s="397" t="s">
        <v>215</v>
      </c>
      <c r="E553" s="411" t="s">
        <v>314</v>
      </c>
      <c r="F553" s="412">
        <v>7.8E-2</v>
      </c>
      <c r="G553" s="403" t="s">
        <v>25</v>
      </c>
      <c r="H553" s="413">
        <v>0.15</v>
      </c>
      <c r="I553" s="414">
        <v>300</v>
      </c>
      <c r="J553" s="415">
        <v>2000</v>
      </c>
      <c r="K553" s="402"/>
    </row>
    <row r="554" spans="1:12" x14ac:dyDescent="0.25">
      <c r="A554" s="395" t="s">
        <v>390</v>
      </c>
      <c r="B554" s="409"/>
      <c r="C554" s="410"/>
      <c r="D554" s="397"/>
      <c r="E554" s="411"/>
      <c r="F554" s="412"/>
      <c r="G554" s="403" t="s">
        <v>26</v>
      </c>
      <c r="H554" s="413">
        <v>0.1</v>
      </c>
      <c r="I554" s="414">
        <v>200</v>
      </c>
      <c r="J554" s="415"/>
      <c r="K554" s="402"/>
    </row>
    <row r="555" spans="1:12" x14ac:dyDescent="0.25">
      <c r="A555" s="395" t="s">
        <v>390</v>
      </c>
      <c r="B555" s="409"/>
      <c r="C555" s="410"/>
      <c r="D555" s="397"/>
      <c r="E555" s="411"/>
      <c r="F555" s="412"/>
      <c r="G555" s="403" t="s">
        <v>27</v>
      </c>
      <c r="H555" s="413">
        <v>0.2</v>
      </c>
      <c r="I555" s="414">
        <v>400</v>
      </c>
      <c r="J555" s="415"/>
      <c r="K555" s="402"/>
    </row>
    <row r="556" spans="1:12" x14ac:dyDescent="0.25">
      <c r="A556" s="395" t="s">
        <v>390</v>
      </c>
      <c r="B556" s="409"/>
      <c r="C556" s="410"/>
      <c r="D556" s="397"/>
      <c r="E556" s="411"/>
      <c r="F556" s="412"/>
      <c r="G556" s="403" t="s">
        <v>57</v>
      </c>
      <c r="H556" s="413">
        <v>0.05</v>
      </c>
      <c r="I556" s="414">
        <v>100</v>
      </c>
      <c r="J556" s="415"/>
      <c r="K556" s="402"/>
    </row>
    <row r="557" spans="1:12" x14ac:dyDescent="0.25">
      <c r="A557" s="395" t="s">
        <v>390</v>
      </c>
      <c r="B557" s="409"/>
      <c r="C557" s="410"/>
      <c r="D557" s="397"/>
      <c r="E557" s="411"/>
      <c r="F557" s="412"/>
      <c r="G557" s="403" t="s">
        <v>364</v>
      </c>
      <c r="H557" s="413">
        <v>0.5</v>
      </c>
      <c r="I557" s="416">
        <v>1000</v>
      </c>
      <c r="J557" s="415"/>
      <c r="K557" s="402"/>
    </row>
    <row r="558" spans="1:12" ht="15.75" customHeight="1" x14ac:dyDescent="0.25">
      <c r="A558" s="395" t="s">
        <v>390</v>
      </c>
      <c r="B558" s="409" t="s">
        <v>315</v>
      </c>
      <c r="C558" s="410" t="s">
        <v>473</v>
      </c>
      <c r="D558" s="397" t="s">
        <v>215</v>
      </c>
      <c r="E558" s="411" t="s">
        <v>316</v>
      </c>
      <c r="F558" s="412">
        <v>5.0999999999999997E-2</v>
      </c>
      <c r="G558" s="403" t="s">
        <v>25</v>
      </c>
      <c r="H558" s="413">
        <v>0.15</v>
      </c>
      <c r="I558" s="414">
        <v>195</v>
      </c>
      <c r="J558" s="415">
        <v>1300</v>
      </c>
      <c r="K558" s="402"/>
    </row>
    <row r="559" spans="1:12" x14ac:dyDescent="0.25">
      <c r="A559" s="395" t="s">
        <v>390</v>
      </c>
      <c r="B559" s="409"/>
      <c r="C559" s="410"/>
      <c r="D559" s="397"/>
      <c r="E559" s="411"/>
      <c r="F559" s="412"/>
      <c r="G559" s="403" t="s">
        <v>26</v>
      </c>
      <c r="H559" s="413">
        <v>0.1</v>
      </c>
      <c r="I559" s="414">
        <v>130</v>
      </c>
      <c r="J559" s="415"/>
      <c r="K559" s="402"/>
    </row>
    <row r="560" spans="1:12" x14ac:dyDescent="0.25">
      <c r="A560" s="395" t="s">
        <v>390</v>
      </c>
      <c r="B560" s="409"/>
      <c r="C560" s="410"/>
      <c r="D560" s="397"/>
      <c r="E560" s="411"/>
      <c r="F560" s="412"/>
      <c r="G560" s="403" t="s">
        <v>27</v>
      </c>
      <c r="H560" s="413">
        <v>0.2</v>
      </c>
      <c r="I560" s="414">
        <v>260</v>
      </c>
      <c r="J560" s="415"/>
      <c r="K560" s="402"/>
    </row>
    <row r="561" spans="1:11" x14ac:dyDescent="0.25">
      <c r="A561" s="395" t="s">
        <v>390</v>
      </c>
      <c r="B561" s="409"/>
      <c r="C561" s="410"/>
      <c r="D561" s="397"/>
      <c r="E561" s="411"/>
      <c r="F561" s="412"/>
      <c r="G561" s="403" t="s">
        <v>57</v>
      </c>
      <c r="H561" s="413">
        <v>0.05</v>
      </c>
      <c r="I561" s="414">
        <v>65</v>
      </c>
      <c r="J561" s="415"/>
      <c r="K561" s="402"/>
    </row>
    <row r="562" spans="1:11" x14ac:dyDescent="0.25">
      <c r="A562" s="395" t="s">
        <v>390</v>
      </c>
      <c r="B562" s="409"/>
      <c r="C562" s="410"/>
      <c r="D562" s="397"/>
      <c r="E562" s="411"/>
      <c r="F562" s="412"/>
      <c r="G562" s="403" t="s">
        <v>364</v>
      </c>
      <c r="H562" s="413">
        <v>0.5</v>
      </c>
      <c r="I562" s="414">
        <v>650</v>
      </c>
      <c r="J562" s="415"/>
      <c r="K562" s="402"/>
    </row>
    <row r="563" spans="1:11" ht="15.75" customHeight="1" x14ac:dyDescent="0.25">
      <c r="A563" s="395" t="s">
        <v>390</v>
      </c>
      <c r="B563" s="409" t="s">
        <v>317</v>
      </c>
      <c r="C563" s="410" t="s">
        <v>474</v>
      </c>
      <c r="D563" s="397" t="s">
        <v>215</v>
      </c>
      <c r="E563" s="411" t="s">
        <v>475</v>
      </c>
      <c r="F563" s="412">
        <v>0.156</v>
      </c>
      <c r="G563" s="403" t="s">
        <v>25</v>
      </c>
      <c r="H563" s="413">
        <v>0.15</v>
      </c>
      <c r="I563" s="414">
        <v>600</v>
      </c>
      <c r="J563" s="415">
        <v>4000</v>
      </c>
      <c r="K563" s="402"/>
    </row>
    <row r="564" spans="1:11" x14ac:dyDescent="0.25">
      <c r="A564" s="395" t="s">
        <v>390</v>
      </c>
      <c r="B564" s="409"/>
      <c r="C564" s="410"/>
      <c r="D564" s="397"/>
      <c r="E564" s="411"/>
      <c r="F564" s="412"/>
      <c r="G564" s="403" t="s">
        <v>26</v>
      </c>
      <c r="H564" s="413">
        <v>0.1</v>
      </c>
      <c r="I564" s="414">
        <v>400</v>
      </c>
      <c r="J564" s="415"/>
      <c r="K564" s="402"/>
    </row>
    <row r="565" spans="1:11" x14ac:dyDescent="0.25">
      <c r="A565" s="395" t="s">
        <v>390</v>
      </c>
      <c r="B565" s="409"/>
      <c r="C565" s="410"/>
      <c r="D565" s="397"/>
      <c r="E565" s="411"/>
      <c r="F565" s="412"/>
      <c r="G565" s="403" t="s">
        <v>27</v>
      </c>
      <c r="H565" s="413">
        <v>0.2</v>
      </c>
      <c r="I565" s="414">
        <v>800</v>
      </c>
      <c r="J565" s="415"/>
      <c r="K565" s="402"/>
    </row>
    <row r="566" spans="1:11" x14ac:dyDescent="0.25">
      <c r="A566" s="395" t="s">
        <v>390</v>
      </c>
      <c r="B566" s="409"/>
      <c r="C566" s="410"/>
      <c r="D566" s="397"/>
      <c r="E566" s="411"/>
      <c r="F566" s="412"/>
      <c r="G566" s="403" t="s">
        <v>57</v>
      </c>
      <c r="H566" s="413">
        <v>0.05</v>
      </c>
      <c r="I566" s="414">
        <v>200</v>
      </c>
      <c r="J566" s="415"/>
      <c r="K566" s="402"/>
    </row>
    <row r="567" spans="1:11" x14ac:dyDescent="0.25">
      <c r="A567" s="395" t="s">
        <v>390</v>
      </c>
      <c r="B567" s="409"/>
      <c r="C567" s="410"/>
      <c r="D567" s="397"/>
      <c r="E567" s="411"/>
      <c r="F567" s="412"/>
      <c r="G567" s="403" t="s">
        <v>364</v>
      </c>
      <c r="H567" s="413">
        <v>0.5</v>
      </c>
      <c r="I567" s="416">
        <v>2000</v>
      </c>
      <c r="J567" s="415"/>
      <c r="K567" s="402"/>
    </row>
    <row r="568" spans="1:11" ht="15.75" customHeight="1" x14ac:dyDescent="0.25">
      <c r="A568" s="395" t="s">
        <v>390</v>
      </c>
      <c r="B568" s="409" t="s">
        <v>319</v>
      </c>
      <c r="C568" s="410" t="s">
        <v>476</v>
      </c>
      <c r="D568" s="397" t="s">
        <v>215</v>
      </c>
      <c r="E568" s="411" t="s">
        <v>320</v>
      </c>
      <c r="F568" s="412">
        <v>7.8E-2</v>
      </c>
      <c r="G568" s="403" t="s">
        <v>25</v>
      </c>
      <c r="H568" s="413">
        <v>0.15</v>
      </c>
      <c r="I568" s="414">
        <v>300</v>
      </c>
      <c r="J568" s="415">
        <v>2000</v>
      </c>
      <c r="K568" s="402"/>
    </row>
    <row r="569" spans="1:11" x14ac:dyDescent="0.25">
      <c r="A569" s="395" t="s">
        <v>390</v>
      </c>
      <c r="B569" s="409"/>
      <c r="C569" s="410"/>
      <c r="D569" s="397"/>
      <c r="E569" s="411"/>
      <c r="F569" s="412"/>
      <c r="G569" s="403" t="s">
        <v>26</v>
      </c>
      <c r="H569" s="413">
        <v>0.1</v>
      </c>
      <c r="I569" s="414">
        <v>200</v>
      </c>
      <c r="J569" s="415"/>
      <c r="K569" s="402"/>
    </row>
    <row r="570" spans="1:11" x14ac:dyDescent="0.25">
      <c r="A570" s="395" t="s">
        <v>390</v>
      </c>
      <c r="B570" s="409"/>
      <c r="C570" s="410"/>
      <c r="D570" s="397"/>
      <c r="E570" s="411"/>
      <c r="F570" s="412"/>
      <c r="G570" s="403" t="s">
        <v>27</v>
      </c>
      <c r="H570" s="413">
        <v>0.2</v>
      </c>
      <c r="I570" s="414">
        <v>400</v>
      </c>
      <c r="J570" s="415"/>
      <c r="K570" s="402"/>
    </row>
    <row r="571" spans="1:11" x14ac:dyDescent="0.25">
      <c r="A571" s="395" t="s">
        <v>390</v>
      </c>
      <c r="B571" s="409"/>
      <c r="C571" s="410"/>
      <c r="D571" s="397"/>
      <c r="E571" s="411"/>
      <c r="F571" s="412"/>
      <c r="G571" s="403" t="s">
        <v>57</v>
      </c>
      <c r="H571" s="413">
        <v>0.05</v>
      </c>
      <c r="I571" s="414">
        <v>100</v>
      </c>
      <c r="J571" s="415"/>
      <c r="K571" s="402"/>
    </row>
    <row r="572" spans="1:11" x14ac:dyDescent="0.25">
      <c r="A572" s="395" t="s">
        <v>390</v>
      </c>
      <c r="B572" s="409"/>
      <c r="C572" s="410"/>
      <c r="D572" s="397"/>
      <c r="E572" s="411"/>
      <c r="F572" s="412"/>
      <c r="G572" s="403" t="s">
        <v>364</v>
      </c>
      <c r="H572" s="413">
        <v>0.5</v>
      </c>
      <c r="I572" s="416">
        <v>1000</v>
      </c>
      <c r="J572" s="415"/>
      <c r="K572" s="402"/>
    </row>
    <row r="573" spans="1:11" ht="15.75" customHeight="1" x14ac:dyDescent="0.25">
      <c r="A573" s="395" t="s">
        <v>390</v>
      </c>
      <c r="B573" s="409" t="s">
        <v>321</v>
      </c>
      <c r="C573" s="410" t="s">
        <v>477</v>
      </c>
      <c r="D573" s="397" t="s">
        <v>215</v>
      </c>
      <c r="E573" s="411" t="s">
        <v>322</v>
      </c>
      <c r="F573" s="412">
        <v>0.125</v>
      </c>
      <c r="G573" s="403" t="s">
        <v>25</v>
      </c>
      <c r="H573" s="413">
        <v>0.15</v>
      </c>
      <c r="I573" s="414">
        <v>480</v>
      </c>
      <c r="J573" s="415">
        <v>3200</v>
      </c>
      <c r="K573" s="402"/>
    </row>
    <row r="574" spans="1:11" x14ac:dyDescent="0.25">
      <c r="A574" s="395" t="s">
        <v>390</v>
      </c>
      <c r="B574" s="409"/>
      <c r="C574" s="410"/>
      <c r="D574" s="397"/>
      <c r="E574" s="411"/>
      <c r="F574" s="412"/>
      <c r="G574" s="403" t="s">
        <v>26</v>
      </c>
      <c r="H574" s="413">
        <v>0.1</v>
      </c>
      <c r="I574" s="414">
        <v>320</v>
      </c>
      <c r="J574" s="415"/>
      <c r="K574" s="402"/>
    </row>
    <row r="575" spans="1:11" x14ac:dyDescent="0.25">
      <c r="A575" s="395" t="s">
        <v>390</v>
      </c>
      <c r="B575" s="409"/>
      <c r="C575" s="410"/>
      <c r="D575" s="397"/>
      <c r="E575" s="411"/>
      <c r="F575" s="412"/>
      <c r="G575" s="403" t="s">
        <v>27</v>
      </c>
      <c r="H575" s="413">
        <v>0.2</v>
      </c>
      <c r="I575" s="414">
        <v>640</v>
      </c>
      <c r="J575" s="415"/>
      <c r="K575" s="402"/>
    </row>
    <row r="576" spans="1:11" x14ac:dyDescent="0.25">
      <c r="A576" s="395" t="s">
        <v>390</v>
      </c>
      <c r="B576" s="409"/>
      <c r="C576" s="410"/>
      <c r="D576" s="397"/>
      <c r="E576" s="411"/>
      <c r="F576" s="412"/>
      <c r="G576" s="403" t="s">
        <v>57</v>
      </c>
      <c r="H576" s="413">
        <v>0.05</v>
      </c>
      <c r="I576" s="414">
        <v>160</v>
      </c>
      <c r="J576" s="415"/>
      <c r="K576" s="402"/>
    </row>
    <row r="577" spans="1:11" x14ac:dyDescent="0.25">
      <c r="A577" s="395" t="s">
        <v>390</v>
      </c>
      <c r="B577" s="409"/>
      <c r="C577" s="410"/>
      <c r="D577" s="397"/>
      <c r="E577" s="411"/>
      <c r="F577" s="412"/>
      <c r="G577" s="403" t="s">
        <v>364</v>
      </c>
      <c r="H577" s="413">
        <v>0.5</v>
      </c>
      <c r="I577" s="416">
        <v>1600</v>
      </c>
      <c r="J577" s="415"/>
      <c r="K577" s="402"/>
    </row>
    <row r="578" spans="1:11" ht="15.75" customHeight="1" x14ac:dyDescent="0.25">
      <c r="A578" s="395" t="s">
        <v>390</v>
      </c>
      <c r="B578" s="409" t="s">
        <v>323</v>
      </c>
      <c r="C578" s="410" t="s">
        <v>478</v>
      </c>
      <c r="D578" s="397" t="s">
        <v>215</v>
      </c>
      <c r="E578" s="411" t="s">
        <v>324</v>
      </c>
      <c r="F578" s="412">
        <v>0.17899999999999999</v>
      </c>
      <c r="G578" s="403" t="s">
        <v>25</v>
      </c>
      <c r="H578" s="413">
        <v>0.15</v>
      </c>
      <c r="I578" s="414">
        <v>690</v>
      </c>
      <c r="J578" s="415">
        <v>4600</v>
      </c>
      <c r="K578" s="402"/>
    </row>
    <row r="579" spans="1:11" x14ac:dyDescent="0.25">
      <c r="A579" s="395" t="s">
        <v>390</v>
      </c>
      <c r="B579" s="409"/>
      <c r="C579" s="410"/>
      <c r="D579" s="397"/>
      <c r="E579" s="411"/>
      <c r="F579" s="412"/>
      <c r="G579" s="403" t="s">
        <v>26</v>
      </c>
      <c r="H579" s="413">
        <v>0.1</v>
      </c>
      <c r="I579" s="414">
        <v>460</v>
      </c>
      <c r="J579" s="415"/>
      <c r="K579" s="402"/>
    </row>
    <row r="580" spans="1:11" x14ac:dyDescent="0.25">
      <c r="A580" s="395" t="s">
        <v>390</v>
      </c>
      <c r="B580" s="409"/>
      <c r="C580" s="410"/>
      <c r="D580" s="397"/>
      <c r="E580" s="411"/>
      <c r="F580" s="412"/>
      <c r="G580" s="403" t="s">
        <v>27</v>
      </c>
      <c r="H580" s="413">
        <v>0.2</v>
      </c>
      <c r="I580" s="414">
        <v>920</v>
      </c>
      <c r="J580" s="415"/>
      <c r="K580" s="402"/>
    </row>
    <row r="581" spans="1:11" x14ac:dyDescent="0.25">
      <c r="A581" s="395" t="s">
        <v>390</v>
      </c>
      <c r="B581" s="409"/>
      <c r="C581" s="410"/>
      <c r="D581" s="397"/>
      <c r="E581" s="411"/>
      <c r="F581" s="412"/>
      <c r="G581" s="403" t="s">
        <v>57</v>
      </c>
      <c r="H581" s="413">
        <v>0.05</v>
      </c>
      <c r="I581" s="414">
        <v>230</v>
      </c>
      <c r="J581" s="415"/>
      <c r="K581" s="402"/>
    </row>
    <row r="582" spans="1:11" x14ac:dyDescent="0.25">
      <c r="A582" s="395" t="s">
        <v>390</v>
      </c>
      <c r="B582" s="409"/>
      <c r="C582" s="410"/>
      <c r="D582" s="397"/>
      <c r="E582" s="411"/>
      <c r="F582" s="412"/>
      <c r="G582" s="403" t="s">
        <v>364</v>
      </c>
      <c r="H582" s="413">
        <v>0.5</v>
      </c>
      <c r="I582" s="416">
        <v>2300</v>
      </c>
      <c r="J582" s="415"/>
      <c r="K582" s="402"/>
    </row>
    <row r="583" spans="1:11" ht="15.75" customHeight="1" x14ac:dyDescent="0.25">
      <c r="A583" s="395" t="s">
        <v>390</v>
      </c>
      <c r="B583" s="409" t="s">
        <v>325</v>
      </c>
      <c r="C583" s="410" t="s">
        <v>479</v>
      </c>
      <c r="D583" s="397" t="s">
        <v>215</v>
      </c>
      <c r="E583" s="411" t="s">
        <v>326</v>
      </c>
      <c r="F583" s="412">
        <v>0.17499999999999999</v>
      </c>
      <c r="G583" s="403" t="s">
        <v>25</v>
      </c>
      <c r="H583" s="413">
        <v>0.15</v>
      </c>
      <c r="I583" s="414">
        <v>675</v>
      </c>
      <c r="J583" s="415">
        <v>4500</v>
      </c>
      <c r="K583" s="402"/>
    </row>
    <row r="584" spans="1:11" x14ac:dyDescent="0.25">
      <c r="A584" s="395" t="s">
        <v>390</v>
      </c>
      <c r="B584" s="409"/>
      <c r="C584" s="410"/>
      <c r="D584" s="397"/>
      <c r="E584" s="411"/>
      <c r="F584" s="412"/>
      <c r="G584" s="403" t="s">
        <v>26</v>
      </c>
      <c r="H584" s="413">
        <v>0.1</v>
      </c>
      <c r="I584" s="414">
        <v>450</v>
      </c>
      <c r="J584" s="415"/>
      <c r="K584" s="402"/>
    </row>
    <row r="585" spans="1:11" x14ac:dyDescent="0.25">
      <c r="A585" s="395" t="s">
        <v>390</v>
      </c>
      <c r="B585" s="409"/>
      <c r="C585" s="410"/>
      <c r="D585" s="397"/>
      <c r="E585" s="411"/>
      <c r="F585" s="412"/>
      <c r="G585" s="403" t="s">
        <v>27</v>
      </c>
      <c r="H585" s="413">
        <v>0.2</v>
      </c>
      <c r="I585" s="414">
        <v>900</v>
      </c>
      <c r="J585" s="415"/>
      <c r="K585" s="402"/>
    </row>
    <row r="586" spans="1:11" x14ac:dyDescent="0.25">
      <c r="A586" s="395" t="s">
        <v>390</v>
      </c>
      <c r="B586" s="409"/>
      <c r="C586" s="410"/>
      <c r="D586" s="397"/>
      <c r="E586" s="411"/>
      <c r="F586" s="412"/>
      <c r="G586" s="403" t="s">
        <v>57</v>
      </c>
      <c r="H586" s="413">
        <v>0.05</v>
      </c>
      <c r="I586" s="414">
        <v>225</v>
      </c>
      <c r="J586" s="415"/>
      <c r="K586" s="402"/>
    </row>
    <row r="587" spans="1:11" x14ac:dyDescent="0.25">
      <c r="A587" s="395" t="s">
        <v>390</v>
      </c>
      <c r="B587" s="409"/>
      <c r="C587" s="410"/>
      <c r="D587" s="397"/>
      <c r="E587" s="411"/>
      <c r="F587" s="412"/>
      <c r="G587" s="403" t="s">
        <v>364</v>
      </c>
      <c r="H587" s="413">
        <v>0.5</v>
      </c>
      <c r="I587" s="416">
        <v>2250</v>
      </c>
      <c r="J587" s="415"/>
      <c r="K587" s="402"/>
    </row>
    <row r="588" spans="1:11" ht="15.75" customHeight="1" x14ac:dyDescent="0.25">
      <c r="A588" s="395" t="s">
        <v>390</v>
      </c>
      <c r="B588" s="409" t="s">
        <v>327</v>
      </c>
      <c r="C588" s="410" t="s">
        <v>480</v>
      </c>
      <c r="D588" s="397" t="s">
        <v>84</v>
      </c>
      <c r="E588" s="411" t="s">
        <v>328</v>
      </c>
      <c r="F588" s="412">
        <v>2.7E-2</v>
      </c>
      <c r="G588" s="403" t="s">
        <v>25</v>
      </c>
      <c r="H588" s="413">
        <v>0.15</v>
      </c>
      <c r="I588" s="414">
        <v>105</v>
      </c>
      <c r="J588" s="419">
        <v>700</v>
      </c>
      <c r="K588" s="402"/>
    </row>
    <row r="589" spans="1:11" x14ac:dyDescent="0.25">
      <c r="A589" s="395" t="s">
        <v>390</v>
      </c>
      <c r="B589" s="409"/>
      <c r="C589" s="410"/>
      <c r="D589" s="397"/>
      <c r="E589" s="411"/>
      <c r="F589" s="412"/>
      <c r="G589" s="403" t="s">
        <v>26</v>
      </c>
      <c r="H589" s="413">
        <v>0.1</v>
      </c>
      <c r="I589" s="414">
        <v>70</v>
      </c>
      <c r="J589" s="419"/>
      <c r="K589" s="402"/>
    </row>
    <row r="590" spans="1:11" x14ac:dyDescent="0.25">
      <c r="A590" s="395" t="s">
        <v>390</v>
      </c>
      <c r="B590" s="409"/>
      <c r="C590" s="410"/>
      <c r="D590" s="397"/>
      <c r="E590" s="411"/>
      <c r="F590" s="412"/>
      <c r="G590" s="403" t="s">
        <v>27</v>
      </c>
      <c r="H590" s="413">
        <v>0.2</v>
      </c>
      <c r="I590" s="414">
        <v>140</v>
      </c>
      <c r="J590" s="419"/>
      <c r="K590" s="402"/>
    </row>
    <row r="591" spans="1:11" x14ac:dyDescent="0.25">
      <c r="A591" s="395" t="s">
        <v>390</v>
      </c>
      <c r="B591" s="409"/>
      <c r="C591" s="410"/>
      <c r="D591" s="397"/>
      <c r="E591" s="411"/>
      <c r="F591" s="412"/>
      <c r="G591" s="403" t="s">
        <v>57</v>
      </c>
      <c r="H591" s="413">
        <v>0.05</v>
      </c>
      <c r="I591" s="414">
        <v>35</v>
      </c>
      <c r="J591" s="419"/>
      <c r="K591" s="402"/>
    </row>
    <row r="592" spans="1:11" x14ac:dyDescent="0.25">
      <c r="A592" s="395" t="s">
        <v>390</v>
      </c>
      <c r="B592" s="409"/>
      <c r="C592" s="410"/>
      <c r="D592" s="397"/>
      <c r="E592" s="411"/>
      <c r="F592" s="412"/>
      <c r="G592" s="403" t="s">
        <v>364</v>
      </c>
      <c r="H592" s="413">
        <v>0.5</v>
      </c>
      <c r="I592" s="414">
        <v>350</v>
      </c>
      <c r="J592" s="419"/>
      <c r="K592" s="402"/>
    </row>
    <row r="593" spans="1:11" ht="15.75" customHeight="1" x14ac:dyDescent="0.25">
      <c r="A593" s="395" t="s">
        <v>390</v>
      </c>
      <c r="B593" s="409" t="s">
        <v>329</v>
      </c>
      <c r="C593" s="410" t="s">
        <v>481</v>
      </c>
      <c r="D593" s="397" t="s">
        <v>84</v>
      </c>
      <c r="E593" s="411" t="s">
        <v>330</v>
      </c>
      <c r="F593" s="412">
        <v>1.9E-2</v>
      </c>
      <c r="G593" s="403" t="s">
        <v>25</v>
      </c>
      <c r="H593" s="413">
        <v>0.15</v>
      </c>
      <c r="I593" s="414">
        <v>75</v>
      </c>
      <c r="J593" s="419">
        <v>500</v>
      </c>
      <c r="K593" s="402"/>
    </row>
    <row r="594" spans="1:11" x14ac:dyDescent="0.25">
      <c r="A594" s="395" t="s">
        <v>390</v>
      </c>
      <c r="B594" s="409"/>
      <c r="C594" s="410"/>
      <c r="D594" s="397"/>
      <c r="E594" s="411"/>
      <c r="F594" s="412"/>
      <c r="G594" s="403" t="s">
        <v>26</v>
      </c>
      <c r="H594" s="413">
        <v>0.1</v>
      </c>
      <c r="I594" s="414">
        <v>50</v>
      </c>
      <c r="J594" s="419"/>
      <c r="K594" s="402"/>
    </row>
    <row r="595" spans="1:11" x14ac:dyDescent="0.25">
      <c r="A595" s="395" t="s">
        <v>390</v>
      </c>
      <c r="B595" s="409"/>
      <c r="C595" s="410"/>
      <c r="D595" s="397"/>
      <c r="E595" s="411"/>
      <c r="F595" s="412"/>
      <c r="G595" s="403" t="s">
        <v>27</v>
      </c>
      <c r="H595" s="413">
        <v>0.2</v>
      </c>
      <c r="I595" s="414">
        <v>100</v>
      </c>
      <c r="J595" s="419"/>
      <c r="K595" s="402"/>
    </row>
    <row r="596" spans="1:11" x14ac:dyDescent="0.25">
      <c r="A596" s="395" t="s">
        <v>390</v>
      </c>
      <c r="B596" s="409"/>
      <c r="C596" s="410"/>
      <c r="D596" s="397"/>
      <c r="E596" s="411"/>
      <c r="F596" s="412"/>
      <c r="G596" s="403" t="s">
        <v>57</v>
      </c>
      <c r="H596" s="413">
        <v>0.05</v>
      </c>
      <c r="I596" s="414">
        <v>25</v>
      </c>
      <c r="J596" s="419"/>
      <c r="K596" s="402"/>
    </row>
    <row r="597" spans="1:11" x14ac:dyDescent="0.25">
      <c r="A597" s="395" t="s">
        <v>390</v>
      </c>
      <c r="B597" s="409"/>
      <c r="C597" s="410"/>
      <c r="D597" s="397"/>
      <c r="E597" s="411"/>
      <c r="F597" s="412"/>
      <c r="G597" s="403" t="s">
        <v>364</v>
      </c>
      <c r="H597" s="413">
        <v>0.5</v>
      </c>
      <c r="I597" s="414">
        <v>250</v>
      </c>
      <c r="J597" s="419"/>
      <c r="K597" s="402"/>
    </row>
    <row r="598" spans="1:11" ht="15.75" customHeight="1" x14ac:dyDescent="0.25">
      <c r="A598" s="395" t="s">
        <v>390</v>
      </c>
      <c r="B598" s="409" t="s">
        <v>331</v>
      </c>
      <c r="C598" s="410" t="s">
        <v>482</v>
      </c>
      <c r="D598" s="397" t="s">
        <v>84</v>
      </c>
      <c r="E598" s="411" t="s">
        <v>332</v>
      </c>
      <c r="F598" s="412">
        <v>2.7E-2</v>
      </c>
      <c r="G598" s="403" t="s">
        <v>25</v>
      </c>
      <c r="H598" s="413">
        <v>0.15</v>
      </c>
      <c r="I598" s="414">
        <v>105</v>
      </c>
      <c r="J598" s="419">
        <v>700</v>
      </c>
      <c r="K598" s="402"/>
    </row>
    <row r="599" spans="1:11" x14ac:dyDescent="0.25">
      <c r="A599" s="395" t="s">
        <v>390</v>
      </c>
      <c r="B599" s="409"/>
      <c r="C599" s="410"/>
      <c r="D599" s="397"/>
      <c r="E599" s="411"/>
      <c r="F599" s="412"/>
      <c r="G599" s="403" t="s">
        <v>26</v>
      </c>
      <c r="H599" s="413">
        <v>0.1</v>
      </c>
      <c r="I599" s="414">
        <v>70</v>
      </c>
      <c r="J599" s="419"/>
      <c r="K599" s="402"/>
    </row>
    <row r="600" spans="1:11" x14ac:dyDescent="0.25">
      <c r="A600" s="395" t="s">
        <v>390</v>
      </c>
      <c r="B600" s="409"/>
      <c r="C600" s="410"/>
      <c r="D600" s="397"/>
      <c r="E600" s="411"/>
      <c r="F600" s="412"/>
      <c r="G600" s="403" t="s">
        <v>27</v>
      </c>
      <c r="H600" s="413">
        <v>0.2</v>
      </c>
      <c r="I600" s="414">
        <v>140</v>
      </c>
      <c r="J600" s="419"/>
      <c r="K600" s="402"/>
    </row>
    <row r="601" spans="1:11" x14ac:dyDescent="0.25">
      <c r="A601" s="395" t="s">
        <v>390</v>
      </c>
      <c r="B601" s="409"/>
      <c r="C601" s="410"/>
      <c r="D601" s="397"/>
      <c r="E601" s="411"/>
      <c r="F601" s="412"/>
      <c r="G601" s="403" t="s">
        <v>57</v>
      </c>
      <c r="H601" s="413">
        <v>0.05</v>
      </c>
      <c r="I601" s="414">
        <v>35</v>
      </c>
      <c r="J601" s="419"/>
      <c r="K601" s="402"/>
    </row>
    <row r="602" spans="1:11" x14ac:dyDescent="0.25">
      <c r="A602" s="395" t="s">
        <v>390</v>
      </c>
      <c r="B602" s="409"/>
      <c r="C602" s="410"/>
      <c r="D602" s="397"/>
      <c r="E602" s="411"/>
      <c r="F602" s="412"/>
      <c r="G602" s="403" t="s">
        <v>364</v>
      </c>
      <c r="H602" s="413">
        <v>0.5</v>
      </c>
      <c r="I602" s="414">
        <v>350</v>
      </c>
      <c r="J602" s="419"/>
      <c r="K602" s="402"/>
    </row>
    <row r="603" spans="1:11" ht="15.75" customHeight="1" x14ac:dyDescent="0.25">
      <c r="A603" s="395" t="s">
        <v>390</v>
      </c>
      <c r="B603" s="409" t="s">
        <v>333</v>
      </c>
      <c r="C603" s="410" t="s">
        <v>483</v>
      </c>
      <c r="D603" s="397" t="s">
        <v>84</v>
      </c>
      <c r="E603" s="411" t="s">
        <v>334</v>
      </c>
      <c r="F603" s="412">
        <v>3.5000000000000003E-2</v>
      </c>
      <c r="G603" s="403" t="s">
        <v>25</v>
      </c>
      <c r="H603" s="413">
        <v>0.15</v>
      </c>
      <c r="I603" s="414">
        <v>135</v>
      </c>
      <c r="J603" s="419">
        <v>900</v>
      </c>
      <c r="K603" s="402"/>
    </row>
    <row r="604" spans="1:11" x14ac:dyDescent="0.25">
      <c r="A604" s="395" t="s">
        <v>390</v>
      </c>
      <c r="B604" s="409"/>
      <c r="C604" s="410"/>
      <c r="D604" s="397"/>
      <c r="E604" s="411"/>
      <c r="F604" s="412"/>
      <c r="G604" s="403" t="s">
        <v>26</v>
      </c>
      <c r="H604" s="413">
        <v>0.1</v>
      </c>
      <c r="I604" s="414">
        <v>90</v>
      </c>
      <c r="J604" s="419"/>
      <c r="K604" s="402"/>
    </row>
    <row r="605" spans="1:11" x14ac:dyDescent="0.25">
      <c r="A605" s="395" t="s">
        <v>390</v>
      </c>
      <c r="B605" s="409"/>
      <c r="C605" s="410"/>
      <c r="D605" s="397"/>
      <c r="E605" s="411"/>
      <c r="F605" s="412"/>
      <c r="G605" s="403" t="s">
        <v>27</v>
      </c>
      <c r="H605" s="413">
        <v>0.2</v>
      </c>
      <c r="I605" s="414">
        <v>180</v>
      </c>
      <c r="J605" s="419"/>
      <c r="K605" s="402"/>
    </row>
    <row r="606" spans="1:11" x14ac:dyDescent="0.25">
      <c r="A606" s="395" t="s">
        <v>390</v>
      </c>
      <c r="B606" s="409"/>
      <c r="C606" s="410"/>
      <c r="D606" s="397"/>
      <c r="E606" s="411"/>
      <c r="F606" s="412"/>
      <c r="G606" s="403" t="s">
        <v>57</v>
      </c>
      <c r="H606" s="413">
        <v>0.05</v>
      </c>
      <c r="I606" s="414">
        <v>45</v>
      </c>
      <c r="J606" s="419"/>
      <c r="K606" s="402"/>
    </row>
    <row r="607" spans="1:11" x14ac:dyDescent="0.25">
      <c r="A607" s="395" t="s">
        <v>390</v>
      </c>
      <c r="B607" s="409"/>
      <c r="C607" s="410"/>
      <c r="D607" s="397"/>
      <c r="E607" s="411"/>
      <c r="F607" s="412"/>
      <c r="G607" s="403" t="s">
        <v>364</v>
      </c>
      <c r="H607" s="413">
        <v>0.5</v>
      </c>
      <c r="I607" s="414">
        <v>450</v>
      </c>
      <c r="J607" s="419"/>
      <c r="K607" s="402"/>
    </row>
    <row r="608" spans="1:11" ht="15.75" customHeight="1" x14ac:dyDescent="0.25">
      <c r="A608" s="395" t="s">
        <v>390</v>
      </c>
      <c r="B608" s="409" t="s">
        <v>335</v>
      </c>
      <c r="C608" s="410" t="s">
        <v>484</v>
      </c>
      <c r="D608" s="397" t="s">
        <v>84</v>
      </c>
      <c r="E608" s="411" t="s">
        <v>336</v>
      </c>
      <c r="F608" s="412">
        <v>2.7E-2</v>
      </c>
      <c r="G608" s="403" t="s">
        <v>25</v>
      </c>
      <c r="H608" s="413">
        <v>0.15</v>
      </c>
      <c r="I608" s="414">
        <v>105</v>
      </c>
      <c r="J608" s="419">
        <v>700</v>
      </c>
      <c r="K608" s="402"/>
    </row>
    <row r="609" spans="1:12" x14ac:dyDescent="0.25">
      <c r="A609" s="395" t="s">
        <v>390</v>
      </c>
      <c r="B609" s="409"/>
      <c r="C609" s="410"/>
      <c r="D609" s="397"/>
      <c r="E609" s="411"/>
      <c r="F609" s="412"/>
      <c r="G609" s="403" t="s">
        <v>26</v>
      </c>
      <c r="H609" s="413">
        <v>0.1</v>
      </c>
      <c r="I609" s="414">
        <v>70</v>
      </c>
      <c r="J609" s="419"/>
      <c r="K609" s="402"/>
    </row>
    <row r="610" spans="1:12" x14ac:dyDescent="0.25">
      <c r="A610" s="395" t="s">
        <v>390</v>
      </c>
      <c r="B610" s="409"/>
      <c r="C610" s="410"/>
      <c r="D610" s="397"/>
      <c r="E610" s="411"/>
      <c r="F610" s="412"/>
      <c r="G610" s="403" t="s">
        <v>27</v>
      </c>
      <c r="H610" s="413">
        <v>0.2</v>
      </c>
      <c r="I610" s="414">
        <v>140</v>
      </c>
      <c r="J610" s="419"/>
      <c r="K610" s="402"/>
    </row>
    <row r="611" spans="1:12" x14ac:dyDescent="0.25">
      <c r="A611" s="395" t="s">
        <v>390</v>
      </c>
      <c r="B611" s="409"/>
      <c r="C611" s="410"/>
      <c r="D611" s="397"/>
      <c r="E611" s="411"/>
      <c r="F611" s="412"/>
      <c r="G611" s="403" t="s">
        <v>57</v>
      </c>
      <c r="H611" s="413">
        <v>0.05</v>
      </c>
      <c r="I611" s="414">
        <v>35</v>
      </c>
      <c r="J611" s="419"/>
      <c r="K611" s="402"/>
    </row>
    <row r="612" spans="1:12" x14ac:dyDescent="0.25">
      <c r="A612" s="395" t="s">
        <v>390</v>
      </c>
      <c r="B612" s="409"/>
      <c r="C612" s="410"/>
      <c r="D612" s="397"/>
      <c r="E612" s="411"/>
      <c r="F612" s="412"/>
      <c r="G612" s="403" t="s">
        <v>364</v>
      </c>
      <c r="H612" s="413">
        <v>0.5</v>
      </c>
      <c r="I612" s="414">
        <v>350</v>
      </c>
      <c r="J612" s="419"/>
      <c r="K612" s="402"/>
    </row>
    <row r="613" spans="1:12" ht="15.75" customHeight="1" x14ac:dyDescent="0.25">
      <c r="A613" s="395" t="s">
        <v>390</v>
      </c>
      <c r="B613" s="409" t="s">
        <v>337</v>
      </c>
      <c r="C613" s="410" t="s">
        <v>485</v>
      </c>
      <c r="D613" s="397" t="s">
        <v>84</v>
      </c>
      <c r="E613" s="411" t="s">
        <v>338</v>
      </c>
      <c r="F613" s="412">
        <v>2.3E-2</v>
      </c>
      <c r="G613" s="403" t="s">
        <v>25</v>
      </c>
      <c r="H613" s="413">
        <v>0.15</v>
      </c>
      <c r="I613" s="414">
        <v>90</v>
      </c>
      <c r="J613" s="419">
        <v>600</v>
      </c>
      <c r="K613" s="402"/>
    </row>
    <row r="614" spans="1:12" x14ac:dyDescent="0.25">
      <c r="A614" s="395" t="s">
        <v>390</v>
      </c>
      <c r="B614" s="409"/>
      <c r="C614" s="410"/>
      <c r="D614" s="397"/>
      <c r="E614" s="411"/>
      <c r="F614" s="412"/>
      <c r="G614" s="403" t="s">
        <v>26</v>
      </c>
      <c r="H614" s="413">
        <v>0.1</v>
      </c>
      <c r="I614" s="414">
        <v>60</v>
      </c>
      <c r="J614" s="419"/>
      <c r="K614" s="402"/>
    </row>
    <row r="615" spans="1:12" x14ac:dyDescent="0.25">
      <c r="A615" s="395" t="s">
        <v>390</v>
      </c>
      <c r="B615" s="409"/>
      <c r="C615" s="410"/>
      <c r="D615" s="397"/>
      <c r="E615" s="411"/>
      <c r="F615" s="412"/>
      <c r="G615" s="403" t="s">
        <v>27</v>
      </c>
      <c r="H615" s="413">
        <v>0.2</v>
      </c>
      <c r="I615" s="414">
        <v>120</v>
      </c>
      <c r="J615" s="419"/>
      <c r="K615" s="402"/>
    </row>
    <row r="616" spans="1:12" x14ac:dyDescent="0.25">
      <c r="A616" s="395" t="s">
        <v>390</v>
      </c>
      <c r="B616" s="409"/>
      <c r="C616" s="410"/>
      <c r="D616" s="397"/>
      <c r="E616" s="411"/>
      <c r="F616" s="412"/>
      <c r="G616" s="403" t="s">
        <v>57</v>
      </c>
      <c r="H616" s="413">
        <v>0.05</v>
      </c>
      <c r="I616" s="414">
        <v>30</v>
      </c>
      <c r="J616" s="419"/>
      <c r="K616" s="402"/>
    </row>
    <row r="617" spans="1:12" x14ac:dyDescent="0.25">
      <c r="A617" s="395" t="s">
        <v>390</v>
      </c>
      <c r="B617" s="409"/>
      <c r="C617" s="410"/>
      <c r="D617" s="397"/>
      <c r="E617" s="411"/>
      <c r="F617" s="412"/>
      <c r="G617" s="403" t="s">
        <v>364</v>
      </c>
      <c r="H617" s="413">
        <v>0.5</v>
      </c>
      <c r="I617" s="414">
        <v>300</v>
      </c>
      <c r="J617" s="419"/>
      <c r="K617" s="402"/>
      <c r="L617" s="420">
        <f>+SUM(F553:F617)</f>
        <v>1.0000000000000002</v>
      </c>
    </row>
    <row r="618" spans="1:12" ht="15" customHeight="1" x14ac:dyDescent="0.25">
      <c r="A618" s="395" t="s">
        <v>390</v>
      </c>
      <c r="B618" s="397" t="s">
        <v>59</v>
      </c>
      <c r="C618" s="397" t="s">
        <v>404</v>
      </c>
      <c r="D618" s="397" t="s">
        <v>60</v>
      </c>
      <c r="E618" s="397" t="s">
        <v>393</v>
      </c>
      <c r="F618" s="398" t="s">
        <v>394</v>
      </c>
      <c r="G618" s="399" t="s">
        <v>360</v>
      </c>
      <c r="H618" s="399" t="s">
        <v>361</v>
      </c>
      <c r="I618" s="398" t="s">
        <v>17</v>
      </c>
      <c r="J618" s="398" t="s">
        <v>17</v>
      </c>
      <c r="K618" s="400"/>
    </row>
    <row r="619" spans="1:12" x14ac:dyDescent="0.25">
      <c r="A619" s="395" t="s">
        <v>390</v>
      </c>
      <c r="B619" s="397"/>
      <c r="C619" s="397"/>
      <c r="D619" s="397"/>
      <c r="E619" s="397"/>
      <c r="F619" s="398" t="s">
        <v>395</v>
      </c>
      <c r="G619" s="399"/>
      <c r="H619" s="399"/>
      <c r="I619" s="398" t="s">
        <v>396</v>
      </c>
      <c r="J619" s="398" t="s">
        <v>397</v>
      </c>
      <c r="K619" s="400"/>
    </row>
    <row r="620" spans="1:12" x14ac:dyDescent="0.25">
      <c r="A620" s="395" t="s">
        <v>390</v>
      </c>
      <c r="B620" s="397"/>
      <c r="C620" s="397"/>
      <c r="D620" s="397"/>
      <c r="E620" s="397"/>
      <c r="F620" s="401"/>
      <c r="G620" s="399"/>
      <c r="H620" s="399"/>
      <c r="I620" s="401"/>
      <c r="J620" s="398" t="s">
        <v>398</v>
      </c>
      <c r="K620" s="402"/>
    </row>
    <row r="621" spans="1:12" x14ac:dyDescent="0.25">
      <c r="A621" s="395" t="s">
        <v>390</v>
      </c>
      <c r="B621" s="403" t="s">
        <v>339</v>
      </c>
      <c r="C621" s="403" t="s">
        <v>362</v>
      </c>
      <c r="D621" s="403"/>
      <c r="E621" s="403"/>
      <c r="F621" s="413">
        <v>1</v>
      </c>
      <c r="G621" s="403"/>
      <c r="H621" s="403"/>
      <c r="I621" s="406"/>
      <c r="J621" s="403"/>
      <c r="K621" s="402"/>
    </row>
    <row r="622" spans="1:12" x14ac:dyDescent="0.25">
      <c r="A622" s="395" t="s">
        <v>390</v>
      </c>
      <c r="B622" s="403"/>
      <c r="C622" s="403" t="s">
        <v>340</v>
      </c>
      <c r="D622" s="404"/>
      <c r="E622" s="407"/>
      <c r="F622" s="403"/>
      <c r="G622" s="407"/>
      <c r="H622" s="403"/>
      <c r="I622" s="403"/>
      <c r="J622" s="408">
        <v>10300</v>
      </c>
      <c r="K622" s="402"/>
    </row>
    <row r="623" spans="1:12" ht="15.75" customHeight="1" x14ac:dyDescent="0.25">
      <c r="A623" s="395" t="s">
        <v>390</v>
      </c>
      <c r="B623" s="409" t="s">
        <v>341</v>
      </c>
      <c r="C623" s="410" t="s">
        <v>363</v>
      </c>
      <c r="D623" s="397" t="s">
        <v>215</v>
      </c>
      <c r="E623" s="411" t="s">
        <v>342</v>
      </c>
      <c r="F623" s="412">
        <v>0.214</v>
      </c>
      <c r="G623" s="403" t="s">
        <v>25</v>
      </c>
      <c r="H623" s="413">
        <v>0.15</v>
      </c>
      <c r="I623" s="414">
        <v>330</v>
      </c>
      <c r="J623" s="415">
        <v>2200</v>
      </c>
      <c r="K623" s="402"/>
    </row>
    <row r="624" spans="1:12" x14ac:dyDescent="0.25">
      <c r="A624" s="395" t="s">
        <v>390</v>
      </c>
      <c r="B624" s="409"/>
      <c r="C624" s="410"/>
      <c r="D624" s="397"/>
      <c r="E624" s="411"/>
      <c r="F624" s="412"/>
      <c r="G624" s="403" t="s">
        <v>26</v>
      </c>
      <c r="H624" s="413">
        <v>0.1</v>
      </c>
      <c r="I624" s="414">
        <v>220</v>
      </c>
      <c r="J624" s="415"/>
      <c r="K624" s="402"/>
    </row>
    <row r="625" spans="1:11" x14ac:dyDescent="0.25">
      <c r="A625" s="395" t="s">
        <v>390</v>
      </c>
      <c r="B625" s="409"/>
      <c r="C625" s="410"/>
      <c r="D625" s="397"/>
      <c r="E625" s="411"/>
      <c r="F625" s="412"/>
      <c r="G625" s="403" t="s">
        <v>27</v>
      </c>
      <c r="H625" s="413">
        <v>0.2</v>
      </c>
      <c r="I625" s="414">
        <v>440</v>
      </c>
      <c r="J625" s="415"/>
      <c r="K625" s="402"/>
    </row>
    <row r="626" spans="1:11" x14ac:dyDescent="0.25">
      <c r="A626" s="395" t="s">
        <v>390</v>
      </c>
      <c r="B626" s="409"/>
      <c r="C626" s="410"/>
      <c r="D626" s="397"/>
      <c r="E626" s="411"/>
      <c r="F626" s="412"/>
      <c r="G626" s="403" t="s">
        <v>57</v>
      </c>
      <c r="H626" s="413">
        <v>0.05</v>
      </c>
      <c r="I626" s="414">
        <v>110</v>
      </c>
      <c r="J626" s="415"/>
      <c r="K626" s="402"/>
    </row>
    <row r="627" spans="1:11" x14ac:dyDescent="0.25">
      <c r="A627" s="395" t="s">
        <v>390</v>
      </c>
      <c r="B627" s="409"/>
      <c r="C627" s="410"/>
      <c r="D627" s="397"/>
      <c r="E627" s="411"/>
      <c r="F627" s="412"/>
      <c r="G627" s="403" t="s">
        <v>364</v>
      </c>
      <c r="H627" s="413">
        <v>0.5</v>
      </c>
      <c r="I627" s="416">
        <v>1100</v>
      </c>
      <c r="J627" s="415"/>
      <c r="K627" s="402"/>
    </row>
    <row r="628" spans="1:11" ht="15.75" customHeight="1" x14ac:dyDescent="0.25">
      <c r="A628" s="395" t="s">
        <v>390</v>
      </c>
      <c r="B628" s="409" t="s">
        <v>343</v>
      </c>
      <c r="C628" s="410" t="s">
        <v>365</v>
      </c>
      <c r="D628" s="397" t="s">
        <v>215</v>
      </c>
      <c r="E628" s="411" t="s">
        <v>344</v>
      </c>
      <c r="F628" s="412">
        <v>0.42699999999999999</v>
      </c>
      <c r="G628" s="403" t="s">
        <v>25</v>
      </c>
      <c r="H628" s="413">
        <v>0.15</v>
      </c>
      <c r="I628" s="414">
        <v>660</v>
      </c>
      <c r="J628" s="415">
        <v>4400</v>
      </c>
      <c r="K628" s="402"/>
    </row>
    <row r="629" spans="1:11" x14ac:dyDescent="0.25">
      <c r="A629" s="395" t="s">
        <v>390</v>
      </c>
      <c r="B629" s="409"/>
      <c r="C629" s="410"/>
      <c r="D629" s="397"/>
      <c r="E629" s="411"/>
      <c r="F629" s="412"/>
      <c r="G629" s="403" t="s">
        <v>26</v>
      </c>
      <c r="H629" s="413">
        <v>0.1</v>
      </c>
      <c r="I629" s="414">
        <v>440</v>
      </c>
      <c r="J629" s="415"/>
      <c r="K629" s="402"/>
    </row>
    <row r="630" spans="1:11" x14ac:dyDescent="0.25">
      <c r="A630" s="395" t="s">
        <v>390</v>
      </c>
      <c r="B630" s="409"/>
      <c r="C630" s="410"/>
      <c r="D630" s="397"/>
      <c r="E630" s="411"/>
      <c r="F630" s="412"/>
      <c r="G630" s="403" t="s">
        <v>27</v>
      </c>
      <c r="H630" s="413">
        <v>0.2</v>
      </c>
      <c r="I630" s="414">
        <v>880</v>
      </c>
      <c r="J630" s="415"/>
      <c r="K630" s="402"/>
    </row>
    <row r="631" spans="1:11" x14ac:dyDescent="0.25">
      <c r="A631" s="395" t="s">
        <v>390</v>
      </c>
      <c r="B631" s="409"/>
      <c r="C631" s="410"/>
      <c r="D631" s="397"/>
      <c r="E631" s="411"/>
      <c r="F631" s="412"/>
      <c r="G631" s="403" t="s">
        <v>57</v>
      </c>
      <c r="H631" s="413">
        <v>0.05</v>
      </c>
      <c r="I631" s="414">
        <v>220</v>
      </c>
      <c r="J631" s="415"/>
      <c r="K631" s="402"/>
    </row>
    <row r="632" spans="1:11" x14ac:dyDescent="0.25">
      <c r="A632" s="395" t="s">
        <v>390</v>
      </c>
      <c r="B632" s="409"/>
      <c r="C632" s="410"/>
      <c r="D632" s="397"/>
      <c r="E632" s="411"/>
      <c r="F632" s="412"/>
      <c r="G632" s="403" t="s">
        <v>364</v>
      </c>
      <c r="H632" s="413">
        <v>0.5</v>
      </c>
      <c r="I632" s="416">
        <v>2200</v>
      </c>
      <c r="J632" s="415"/>
      <c r="K632" s="402"/>
    </row>
    <row r="633" spans="1:11" ht="15.75" customHeight="1" x14ac:dyDescent="0.25">
      <c r="A633" s="395" t="s">
        <v>390</v>
      </c>
      <c r="B633" s="409" t="s">
        <v>345</v>
      </c>
      <c r="C633" s="410" t="s">
        <v>366</v>
      </c>
      <c r="D633" s="397" t="s">
        <v>215</v>
      </c>
      <c r="E633" s="411" t="s">
        <v>346</v>
      </c>
      <c r="F633" s="412">
        <v>0.252</v>
      </c>
      <c r="G633" s="403" t="s">
        <v>25</v>
      </c>
      <c r="H633" s="413">
        <v>0.15</v>
      </c>
      <c r="I633" s="414">
        <v>390</v>
      </c>
      <c r="J633" s="415">
        <v>2600</v>
      </c>
      <c r="K633" s="402"/>
    </row>
    <row r="634" spans="1:11" x14ac:dyDescent="0.25">
      <c r="A634" s="395" t="s">
        <v>390</v>
      </c>
      <c r="B634" s="409"/>
      <c r="C634" s="410"/>
      <c r="D634" s="397"/>
      <c r="E634" s="411"/>
      <c r="F634" s="412"/>
      <c r="G634" s="403" t="s">
        <v>26</v>
      </c>
      <c r="H634" s="413">
        <v>0.1</v>
      </c>
      <c r="I634" s="414">
        <v>260</v>
      </c>
      <c r="J634" s="415"/>
      <c r="K634" s="402"/>
    </row>
    <row r="635" spans="1:11" x14ac:dyDescent="0.25">
      <c r="A635" s="395" t="s">
        <v>390</v>
      </c>
      <c r="B635" s="409"/>
      <c r="C635" s="410"/>
      <c r="D635" s="397"/>
      <c r="E635" s="411"/>
      <c r="F635" s="412"/>
      <c r="G635" s="403" t="s">
        <v>27</v>
      </c>
      <c r="H635" s="413">
        <v>0.2</v>
      </c>
      <c r="I635" s="414">
        <v>520</v>
      </c>
      <c r="J635" s="415"/>
      <c r="K635" s="402"/>
    </row>
    <row r="636" spans="1:11" x14ac:dyDescent="0.25">
      <c r="A636" s="395" t="s">
        <v>390</v>
      </c>
      <c r="B636" s="409"/>
      <c r="C636" s="410"/>
      <c r="D636" s="397"/>
      <c r="E636" s="411"/>
      <c r="F636" s="412"/>
      <c r="G636" s="403" t="s">
        <v>57</v>
      </c>
      <c r="H636" s="413">
        <v>0.05</v>
      </c>
      <c r="I636" s="414">
        <v>130</v>
      </c>
      <c r="J636" s="415"/>
      <c r="K636" s="402"/>
    </row>
    <row r="637" spans="1:11" x14ac:dyDescent="0.25">
      <c r="A637" s="395" t="s">
        <v>390</v>
      </c>
      <c r="B637" s="409"/>
      <c r="C637" s="410"/>
      <c r="D637" s="397"/>
      <c r="E637" s="411"/>
      <c r="F637" s="412"/>
      <c r="G637" s="403" t="s">
        <v>364</v>
      </c>
      <c r="H637" s="413">
        <v>0.5</v>
      </c>
      <c r="I637" s="416">
        <v>1300</v>
      </c>
      <c r="J637" s="415"/>
      <c r="K637" s="402"/>
    </row>
    <row r="638" spans="1:11" ht="15.75" customHeight="1" x14ac:dyDescent="0.25">
      <c r="A638" s="395" t="s">
        <v>390</v>
      </c>
      <c r="B638" s="409" t="s">
        <v>347</v>
      </c>
      <c r="C638" s="410" t="s">
        <v>486</v>
      </c>
      <c r="D638" s="397" t="s">
        <v>84</v>
      </c>
      <c r="E638" s="411" t="s">
        <v>348</v>
      </c>
      <c r="F638" s="412">
        <v>5.8000000000000003E-2</v>
      </c>
      <c r="G638" s="403" t="s">
        <v>25</v>
      </c>
      <c r="H638" s="413">
        <v>0.15</v>
      </c>
      <c r="I638" s="414">
        <v>90</v>
      </c>
      <c r="J638" s="419">
        <v>600</v>
      </c>
      <c r="K638" s="402"/>
    </row>
    <row r="639" spans="1:11" x14ac:dyDescent="0.25">
      <c r="A639" s="395" t="s">
        <v>390</v>
      </c>
      <c r="B639" s="409"/>
      <c r="C639" s="410"/>
      <c r="D639" s="397"/>
      <c r="E639" s="411"/>
      <c r="F639" s="412"/>
      <c r="G639" s="403" t="s">
        <v>26</v>
      </c>
      <c r="H639" s="413">
        <v>0.1</v>
      </c>
      <c r="I639" s="414">
        <v>60</v>
      </c>
      <c r="J639" s="419"/>
      <c r="K639" s="402"/>
    </row>
    <row r="640" spans="1:11" x14ac:dyDescent="0.25">
      <c r="A640" s="395" t="s">
        <v>390</v>
      </c>
      <c r="B640" s="409"/>
      <c r="C640" s="410"/>
      <c r="D640" s="397"/>
      <c r="E640" s="411"/>
      <c r="F640" s="412"/>
      <c r="G640" s="403" t="s">
        <v>27</v>
      </c>
      <c r="H640" s="413">
        <v>0.2</v>
      </c>
      <c r="I640" s="414">
        <v>120</v>
      </c>
      <c r="J640" s="419"/>
      <c r="K640" s="402"/>
    </row>
    <row r="641" spans="1:12" x14ac:dyDescent="0.25">
      <c r="A641" s="395" t="s">
        <v>390</v>
      </c>
      <c r="B641" s="409"/>
      <c r="C641" s="410"/>
      <c r="D641" s="397"/>
      <c r="E641" s="411"/>
      <c r="F641" s="412"/>
      <c r="G641" s="403" t="s">
        <v>57</v>
      </c>
      <c r="H641" s="413">
        <v>0.05</v>
      </c>
      <c r="I641" s="414">
        <v>30</v>
      </c>
      <c r="J641" s="419"/>
      <c r="K641" s="402"/>
    </row>
    <row r="642" spans="1:12" x14ac:dyDescent="0.25">
      <c r="A642" s="395" t="s">
        <v>390</v>
      </c>
      <c r="B642" s="409"/>
      <c r="C642" s="410"/>
      <c r="D642" s="397"/>
      <c r="E642" s="411"/>
      <c r="F642" s="412"/>
      <c r="G642" s="403" t="s">
        <v>364</v>
      </c>
      <c r="H642" s="413">
        <v>0.5</v>
      </c>
      <c r="I642" s="414">
        <v>300</v>
      </c>
      <c r="J642" s="419"/>
      <c r="K642" s="402"/>
    </row>
    <row r="643" spans="1:12" ht="15.75" customHeight="1" x14ac:dyDescent="0.25">
      <c r="A643" s="395" t="s">
        <v>390</v>
      </c>
      <c r="B643" s="409" t="s">
        <v>349</v>
      </c>
      <c r="C643" s="410" t="s">
        <v>487</v>
      </c>
      <c r="D643" s="397" t="s">
        <v>84</v>
      </c>
      <c r="E643" s="411" t="s">
        <v>350</v>
      </c>
      <c r="F643" s="412">
        <v>4.9000000000000002E-2</v>
      </c>
      <c r="G643" s="403" t="s">
        <v>25</v>
      </c>
      <c r="H643" s="413">
        <v>0.15</v>
      </c>
      <c r="I643" s="414">
        <v>75</v>
      </c>
      <c r="J643" s="419">
        <v>500</v>
      </c>
      <c r="K643" s="402"/>
    </row>
    <row r="644" spans="1:12" x14ac:dyDescent="0.25">
      <c r="A644" s="395" t="s">
        <v>390</v>
      </c>
      <c r="B644" s="409"/>
      <c r="C644" s="410"/>
      <c r="D644" s="397"/>
      <c r="E644" s="411"/>
      <c r="F644" s="412"/>
      <c r="G644" s="403" t="s">
        <v>26</v>
      </c>
      <c r="H644" s="413">
        <v>0.1</v>
      </c>
      <c r="I644" s="414">
        <v>50</v>
      </c>
      <c r="J644" s="419"/>
      <c r="K644" s="402"/>
    </row>
    <row r="645" spans="1:12" x14ac:dyDescent="0.25">
      <c r="A645" s="395" t="s">
        <v>390</v>
      </c>
      <c r="B645" s="409"/>
      <c r="C645" s="410"/>
      <c r="D645" s="397"/>
      <c r="E645" s="411"/>
      <c r="F645" s="412"/>
      <c r="G645" s="403" t="s">
        <v>27</v>
      </c>
      <c r="H645" s="413">
        <v>0.2</v>
      </c>
      <c r="I645" s="414">
        <v>100</v>
      </c>
      <c r="J645" s="419"/>
      <c r="K645" s="402"/>
    </row>
    <row r="646" spans="1:12" x14ac:dyDescent="0.25">
      <c r="A646" s="395" t="s">
        <v>390</v>
      </c>
      <c r="B646" s="409"/>
      <c r="C646" s="410"/>
      <c r="D646" s="397"/>
      <c r="E646" s="411"/>
      <c r="F646" s="412"/>
      <c r="G646" s="403" t="s">
        <v>57</v>
      </c>
      <c r="H646" s="413">
        <v>0.05</v>
      </c>
      <c r="I646" s="414">
        <v>25</v>
      </c>
      <c r="J646" s="419"/>
      <c r="K646" s="402"/>
    </row>
    <row r="647" spans="1:12" x14ac:dyDescent="0.25">
      <c r="A647" s="395" t="s">
        <v>390</v>
      </c>
      <c r="B647" s="409"/>
      <c r="C647" s="410"/>
      <c r="D647" s="397"/>
      <c r="E647" s="411"/>
      <c r="F647" s="412"/>
      <c r="G647" s="403" t="s">
        <v>364</v>
      </c>
      <c r="H647" s="413">
        <v>0.5</v>
      </c>
      <c r="I647" s="414">
        <v>250</v>
      </c>
      <c r="J647" s="419"/>
      <c r="K647" s="402"/>
      <c r="L647" s="420">
        <f>+SUM(F623:F647)</f>
        <v>1</v>
      </c>
    </row>
    <row r="648" spans="1:12" x14ac:dyDescent="0.25">
      <c r="A648" s="395" t="s">
        <v>390</v>
      </c>
      <c r="B648" s="396" t="s">
        <v>488</v>
      </c>
      <c r="C648" s="396"/>
      <c r="D648" s="396"/>
      <c r="E648" s="396"/>
      <c r="F648" s="396"/>
      <c r="G648" s="396"/>
      <c r="H648" s="396"/>
      <c r="I648" s="396">
        <f>+SUM(I2:I647)</f>
        <v>336800</v>
      </c>
      <c r="J648" s="396"/>
    </row>
  </sheetData>
  <sheetProtection algorithmName="SHA-512" hashValue="nsybB/bqOBjAEOSW55k8ZVypO/+DeqwOufLhqZtEGcUd3Tut46Mbk6bhIEvrf4mFD2/yz1MQ8hA8O2lZmiZSuw==" saltValue="9hCTmUQB1ZE7wBXVsCa1Xw==" spinCount="100000" sheet="1" objects="1" scenarios="1" selectLockedCells="1" selectUnlockedCells="1"/>
  <mergeCells count="771">
    <mergeCell ref="J13:J17"/>
    <mergeCell ref="B8:B12"/>
    <mergeCell ref="C8:C12"/>
    <mergeCell ref="D8:D12"/>
    <mergeCell ref="E8:E12"/>
    <mergeCell ref="F8:F12"/>
    <mergeCell ref="F13:F17"/>
    <mergeCell ref="K3:K4"/>
    <mergeCell ref="J8:J12"/>
    <mergeCell ref="B3:B5"/>
    <mergeCell ref="C3:C5"/>
    <mergeCell ref="D3:D5"/>
    <mergeCell ref="G3:G5"/>
    <mergeCell ref="H3:H5"/>
    <mergeCell ref="E3:E5"/>
    <mergeCell ref="B13:B17"/>
    <mergeCell ref="C13:C17"/>
    <mergeCell ref="D13:D17"/>
    <mergeCell ref="E13:E17"/>
    <mergeCell ref="B23:B27"/>
    <mergeCell ref="C23:C27"/>
    <mergeCell ref="D23:D27"/>
    <mergeCell ref="E23:E27"/>
    <mergeCell ref="J23:J27"/>
    <mergeCell ref="F23:F27"/>
    <mergeCell ref="B18:B22"/>
    <mergeCell ref="C18:C22"/>
    <mergeCell ref="D18:D22"/>
    <mergeCell ref="E18:E22"/>
    <mergeCell ref="J18:J22"/>
    <mergeCell ref="F18:F22"/>
    <mergeCell ref="B33:B37"/>
    <mergeCell ref="C33:C37"/>
    <mergeCell ref="D33:D37"/>
    <mergeCell ref="E33:E37"/>
    <mergeCell ref="J33:J37"/>
    <mergeCell ref="F33:F37"/>
    <mergeCell ref="B28:B32"/>
    <mergeCell ref="C28:C32"/>
    <mergeCell ref="D28:D32"/>
    <mergeCell ref="E28:E32"/>
    <mergeCell ref="J28:J32"/>
    <mergeCell ref="F28:F32"/>
    <mergeCell ref="B43:B47"/>
    <mergeCell ref="C43:C47"/>
    <mergeCell ref="D43:D47"/>
    <mergeCell ref="E43:E47"/>
    <mergeCell ref="J43:J47"/>
    <mergeCell ref="F43:F47"/>
    <mergeCell ref="B38:B42"/>
    <mergeCell ref="C38:C42"/>
    <mergeCell ref="D38:D42"/>
    <mergeCell ref="E38:E42"/>
    <mergeCell ref="J38:J42"/>
    <mergeCell ref="F38:F42"/>
    <mergeCell ref="B53:B57"/>
    <mergeCell ref="C53:C57"/>
    <mergeCell ref="D53:D57"/>
    <mergeCell ref="E53:E57"/>
    <mergeCell ref="J53:J57"/>
    <mergeCell ref="F53:F57"/>
    <mergeCell ref="B48:B52"/>
    <mergeCell ref="C48:C52"/>
    <mergeCell ref="D48:D52"/>
    <mergeCell ref="E48:E52"/>
    <mergeCell ref="J48:J52"/>
    <mergeCell ref="F48:F52"/>
    <mergeCell ref="B64:B68"/>
    <mergeCell ref="C64:C68"/>
    <mergeCell ref="D64:D68"/>
    <mergeCell ref="E64:E68"/>
    <mergeCell ref="J64:J68"/>
    <mergeCell ref="F64:F68"/>
    <mergeCell ref="B58:B62"/>
    <mergeCell ref="C58:C62"/>
    <mergeCell ref="D58:D62"/>
    <mergeCell ref="E58:E62"/>
    <mergeCell ref="J58:J62"/>
    <mergeCell ref="F58:F62"/>
    <mergeCell ref="B75:B79"/>
    <mergeCell ref="C75:C79"/>
    <mergeCell ref="D75:D79"/>
    <mergeCell ref="E75:E79"/>
    <mergeCell ref="J75:J79"/>
    <mergeCell ref="F75:F79"/>
    <mergeCell ref="B69:B73"/>
    <mergeCell ref="C69:C73"/>
    <mergeCell ref="D69:D73"/>
    <mergeCell ref="E69:E73"/>
    <mergeCell ref="J69:J73"/>
    <mergeCell ref="F69:F73"/>
    <mergeCell ref="B85:B89"/>
    <mergeCell ref="C85:C89"/>
    <mergeCell ref="D85:D89"/>
    <mergeCell ref="E85:E89"/>
    <mergeCell ref="J85:J89"/>
    <mergeCell ref="F85:F89"/>
    <mergeCell ref="B80:B84"/>
    <mergeCell ref="C80:C84"/>
    <mergeCell ref="D80:D84"/>
    <mergeCell ref="E80:E84"/>
    <mergeCell ref="J80:J84"/>
    <mergeCell ref="F80:F84"/>
    <mergeCell ref="B90:B94"/>
    <mergeCell ref="C90:C94"/>
    <mergeCell ref="D90:D94"/>
    <mergeCell ref="E90:E94"/>
    <mergeCell ref="J90:J94"/>
    <mergeCell ref="F90:F94"/>
    <mergeCell ref="B105:B109"/>
    <mergeCell ref="C105:C109"/>
    <mergeCell ref="D105:D109"/>
    <mergeCell ref="E105:E109"/>
    <mergeCell ref="F105:F109"/>
    <mergeCell ref="K100:K101"/>
    <mergeCell ref="J105:J109"/>
    <mergeCell ref="B100:B102"/>
    <mergeCell ref="C100:C102"/>
    <mergeCell ref="D100:D102"/>
    <mergeCell ref="G100:G102"/>
    <mergeCell ref="H100:H102"/>
    <mergeCell ref="E100:E102"/>
    <mergeCell ref="B95:B99"/>
    <mergeCell ref="C95:C99"/>
    <mergeCell ref="D95:D99"/>
    <mergeCell ref="E95:E99"/>
    <mergeCell ref="J95:J99"/>
    <mergeCell ref="F95:F99"/>
    <mergeCell ref="B115:B119"/>
    <mergeCell ref="C115:C119"/>
    <mergeCell ref="D115:D119"/>
    <mergeCell ref="E115:E119"/>
    <mergeCell ref="J115:J119"/>
    <mergeCell ref="F115:F119"/>
    <mergeCell ref="B110:B114"/>
    <mergeCell ref="C110:C114"/>
    <mergeCell ref="D110:D114"/>
    <mergeCell ref="E110:E114"/>
    <mergeCell ref="J110:J114"/>
    <mergeCell ref="F110:F114"/>
    <mergeCell ref="D125:D129"/>
    <mergeCell ref="E125:E129"/>
    <mergeCell ref="J125:J129"/>
    <mergeCell ref="F125:F129"/>
    <mergeCell ref="B120:B124"/>
    <mergeCell ref="C120:C124"/>
    <mergeCell ref="D120:D124"/>
    <mergeCell ref="E120:E124"/>
    <mergeCell ref="J120:J124"/>
    <mergeCell ref="F120:F124"/>
    <mergeCell ref="B125:B129"/>
    <mergeCell ref="C125:C129"/>
    <mergeCell ref="B130:B134"/>
    <mergeCell ref="C130:C134"/>
    <mergeCell ref="D130:D134"/>
    <mergeCell ref="E130:E134"/>
    <mergeCell ref="J130:J134"/>
    <mergeCell ref="F130:F134"/>
    <mergeCell ref="B147:B151"/>
    <mergeCell ref="C147:C151"/>
    <mergeCell ref="D147:D151"/>
    <mergeCell ref="E147:E151"/>
    <mergeCell ref="J147:J151"/>
    <mergeCell ref="F147:F151"/>
    <mergeCell ref="B141:B145"/>
    <mergeCell ref="C141:C145"/>
    <mergeCell ref="D141:D145"/>
    <mergeCell ref="E141:E145"/>
    <mergeCell ref="J141:J145"/>
    <mergeCell ref="F141:F145"/>
    <mergeCell ref="B136:B140"/>
    <mergeCell ref="C136:C140"/>
    <mergeCell ref="D136:D140"/>
    <mergeCell ref="E136:E140"/>
    <mergeCell ref="J136:J140"/>
    <mergeCell ref="F136:F140"/>
    <mergeCell ref="B152:B156"/>
    <mergeCell ref="C152:C156"/>
    <mergeCell ref="D152:D156"/>
    <mergeCell ref="E152:E156"/>
    <mergeCell ref="J152:J156"/>
    <mergeCell ref="F152:F156"/>
    <mergeCell ref="B168:B172"/>
    <mergeCell ref="C168:C172"/>
    <mergeCell ref="D168:D172"/>
    <mergeCell ref="E168:E172"/>
    <mergeCell ref="J168:J172"/>
    <mergeCell ref="F168:F172"/>
    <mergeCell ref="B163:B167"/>
    <mergeCell ref="C163:C167"/>
    <mergeCell ref="D163:D167"/>
    <mergeCell ref="E163:E167"/>
    <mergeCell ref="J163:J167"/>
    <mergeCell ref="F163:F167"/>
    <mergeCell ref="B157:B161"/>
    <mergeCell ref="C157:C161"/>
    <mergeCell ref="D157:D161"/>
    <mergeCell ref="E157:E161"/>
    <mergeCell ref="J157:J161"/>
    <mergeCell ref="F157:F161"/>
    <mergeCell ref="B178:B182"/>
    <mergeCell ref="C178:C182"/>
    <mergeCell ref="D178:D182"/>
    <mergeCell ref="E178:E182"/>
    <mergeCell ref="J178:J182"/>
    <mergeCell ref="F178:F182"/>
    <mergeCell ref="B173:B177"/>
    <mergeCell ref="C173:C177"/>
    <mergeCell ref="D173:D177"/>
    <mergeCell ref="E173:E177"/>
    <mergeCell ref="J173:J177"/>
    <mergeCell ref="F173:F177"/>
    <mergeCell ref="J193:J197"/>
    <mergeCell ref="K183:K184"/>
    <mergeCell ref="J188:J192"/>
    <mergeCell ref="B183:B185"/>
    <mergeCell ref="C183:C185"/>
    <mergeCell ref="D183:D185"/>
    <mergeCell ref="G183:G185"/>
    <mergeCell ref="H183:H185"/>
    <mergeCell ref="E183:E185"/>
    <mergeCell ref="B188:B192"/>
    <mergeCell ref="C188:C192"/>
    <mergeCell ref="D188:D192"/>
    <mergeCell ref="E188:E192"/>
    <mergeCell ref="F188:F192"/>
    <mergeCell ref="F193:F197"/>
    <mergeCell ref="B193:B197"/>
    <mergeCell ref="C193:C197"/>
    <mergeCell ref="D193:D197"/>
    <mergeCell ref="E193:E197"/>
    <mergeCell ref="B203:B207"/>
    <mergeCell ref="C203:C207"/>
    <mergeCell ref="D203:D207"/>
    <mergeCell ref="E203:E207"/>
    <mergeCell ref="J203:J207"/>
    <mergeCell ref="F203:F207"/>
    <mergeCell ref="B198:B202"/>
    <mergeCell ref="C198:C202"/>
    <mergeCell ref="D198:D202"/>
    <mergeCell ref="E198:E202"/>
    <mergeCell ref="J198:J202"/>
    <mergeCell ref="F198:F202"/>
    <mergeCell ref="B213:B217"/>
    <mergeCell ref="C213:C217"/>
    <mergeCell ref="D213:D217"/>
    <mergeCell ref="E213:E217"/>
    <mergeCell ref="J213:J217"/>
    <mergeCell ref="F213:F217"/>
    <mergeCell ref="B208:B212"/>
    <mergeCell ref="C208:C212"/>
    <mergeCell ref="D208:D212"/>
    <mergeCell ref="E208:E212"/>
    <mergeCell ref="J208:J212"/>
    <mergeCell ref="F208:F212"/>
    <mergeCell ref="B223:B227"/>
    <mergeCell ref="C223:C227"/>
    <mergeCell ref="D223:D227"/>
    <mergeCell ref="E223:E227"/>
    <mergeCell ref="J223:J227"/>
    <mergeCell ref="F223:F227"/>
    <mergeCell ref="B218:B222"/>
    <mergeCell ref="C218:C222"/>
    <mergeCell ref="D218:D222"/>
    <mergeCell ref="E218:E222"/>
    <mergeCell ref="J218:J222"/>
    <mergeCell ref="F218:F222"/>
    <mergeCell ref="K233:K234"/>
    <mergeCell ref="J238:J242"/>
    <mergeCell ref="B233:B235"/>
    <mergeCell ref="C233:C235"/>
    <mergeCell ref="D233:D235"/>
    <mergeCell ref="G233:G235"/>
    <mergeCell ref="H233:H235"/>
    <mergeCell ref="E233:E235"/>
    <mergeCell ref="B228:B232"/>
    <mergeCell ref="C228:C232"/>
    <mergeCell ref="D228:D232"/>
    <mergeCell ref="E228:E232"/>
    <mergeCell ref="J228:J232"/>
    <mergeCell ref="F228:F232"/>
    <mergeCell ref="B238:B242"/>
    <mergeCell ref="C238:C242"/>
    <mergeCell ref="D238:D242"/>
    <mergeCell ref="E238:E242"/>
    <mergeCell ref="F238:F242"/>
    <mergeCell ref="J253:J257"/>
    <mergeCell ref="F253:F257"/>
    <mergeCell ref="B248:B252"/>
    <mergeCell ref="C248:C252"/>
    <mergeCell ref="D248:D252"/>
    <mergeCell ref="E248:E252"/>
    <mergeCell ref="J248:J252"/>
    <mergeCell ref="F248:F252"/>
    <mergeCell ref="B243:B247"/>
    <mergeCell ref="C243:C247"/>
    <mergeCell ref="D243:D247"/>
    <mergeCell ref="E243:E247"/>
    <mergeCell ref="J243:J247"/>
    <mergeCell ref="F243:F247"/>
    <mergeCell ref="B253:B257"/>
    <mergeCell ref="C253:C257"/>
    <mergeCell ref="D253:D257"/>
    <mergeCell ref="E253:E257"/>
    <mergeCell ref="J268:J272"/>
    <mergeCell ref="F268:F272"/>
    <mergeCell ref="B263:B267"/>
    <mergeCell ref="C263:C267"/>
    <mergeCell ref="D263:D267"/>
    <mergeCell ref="E263:E267"/>
    <mergeCell ref="J263:J267"/>
    <mergeCell ref="F263:F267"/>
    <mergeCell ref="B258:B262"/>
    <mergeCell ref="C258:C262"/>
    <mergeCell ref="D258:D262"/>
    <mergeCell ref="E258:E262"/>
    <mergeCell ref="J258:J262"/>
    <mergeCell ref="F258:F262"/>
    <mergeCell ref="B268:B272"/>
    <mergeCell ref="C268:C272"/>
    <mergeCell ref="D268:D272"/>
    <mergeCell ref="E268:E272"/>
    <mergeCell ref="K278:K279"/>
    <mergeCell ref="J283:J287"/>
    <mergeCell ref="B278:B280"/>
    <mergeCell ref="C278:C280"/>
    <mergeCell ref="D278:D280"/>
    <mergeCell ref="G278:G280"/>
    <mergeCell ref="H278:H280"/>
    <mergeCell ref="E278:E280"/>
    <mergeCell ref="B273:B277"/>
    <mergeCell ref="C273:C277"/>
    <mergeCell ref="D273:D277"/>
    <mergeCell ref="E273:E277"/>
    <mergeCell ref="J273:J277"/>
    <mergeCell ref="F273:F277"/>
    <mergeCell ref="B283:B287"/>
    <mergeCell ref="C283:C287"/>
    <mergeCell ref="D283:D287"/>
    <mergeCell ref="E283:E287"/>
    <mergeCell ref="F283:F287"/>
    <mergeCell ref="B293:B297"/>
    <mergeCell ref="C293:C297"/>
    <mergeCell ref="D293:D297"/>
    <mergeCell ref="E293:E297"/>
    <mergeCell ref="J293:J297"/>
    <mergeCell ref="F293:F297"/>
    <mergeCell ref="B288:B292"/>
    <mergeCell ref="C288:C292"/>
    <mergeCell ref="D288:D292"/>
    <mergeCell ref="E288:E292"/>
    <mergeCell ref="J288:J292"/>
    <mergeCell ref="F288:F292"/>
    <mergeCell ref="B303:B307"/>
    <mergeCell ref="C303:C307"/>
    <mergeCell ref="D303:D307"/>
    <mergeCell ref="E303:E307"/>
    <mergeCell ref="J303:J307"/>
    <mergeCell ref="F303:F307"/>
    <mergeCell ref="B298:B302"/>
    <mergeCell ref="C298:C302"/>
    <mergeCell ref="D298:D302"/>
    <mergeCell ref="E298:E302"/>
    <mergeCell ref="J298:J302"/>
    <mergeCell ref="F298:F302"/>
    <mergeCell ref="B314:B318"/>
    <mergeCell ref="C314:C318"/>
    <mergeCell ref="D314:D318"/>
    <mergeCell ref="E314:E318"/>
    <mergeCell ref="J314:J318"/>
    <mergeCell ref="F314:F318"/>
    <mergeCell ref="B309:B313"/>
    <mergeCell ref="C309:C313"/>
    <mergeCell ref="D309:D313"/>
    <mergeCell ref="E309:E313"/>
    <mergeCell ref="J309:J313"/>
    <mergeCell ref="F309:F313"/>
    <mergeCell ref="B334:B338"/>
    <mergeCell ref="C334:C338"/>
    <mergeCell ref="D334:D338"/>
    <mergeCell ref="E334:E338"/>
    <mergeCell ref="J334:J338"/>
    <mergeCell ref="F334:F338"/>
    <mergeCell ref="J324:J328"/>
    <mergeCell ref="J329:J333"/>
    <mergeCell ref="B319:B323"/>
    <mergeCell ref="C319:C323"/>
    <mergeCell ref="D319:D323"/>
    <mergeCell ref="J319:J323"/>
    <mergeCell ref="B324:B328"/>
    <mergeCell ref="C324:C328"/>
    <mergeCell ref="D324:D328"/>
    <mergeCell ref="E324:E328"/>
    <mergeCell ref="E319:E323"/>
    <mergeCell ref="F324:F328"/>
    <mergeCell ref="B329:B333"/>
    <mergeCell ref="C329:C333"/>
    <mergeCell ref="D329:D333"/>
    <mergeCell ref="E329:E333"/>
    <mergeCell ref="F329:F333"/>
    <mergeCell ref="B345:B349"/>
    <mergeCell ref="C345:C349"/>
    <mergeCell ref="D345:D349"/>
    <mergeCell ref="E345:E349"/>
    <mergeCell ref="J345:J349"/>
    <mergeCell ref="F345:F349"/>
    <mergeCell ref="B339:B343"/>
    <mergeCell ref="C339:C343"/>
    <mergeCell ref="D339:D343"/>
    <mergeCell ref="E339:E343"/>
    <mergeCell ref="J339:J343"/>
    <mergeCell ref="F339:F343"/>
    <mergeCell ref="B355:B359"/>
    <mergeCell ref="C355:C359"/>
    <mergeCell ref="D355:D359"/>
    <mergeCell ref="E355:E359"/>
    <mergeCell ref="J355:J359"/>
    <mergeCell ref="F355:F359"/>
    <mergeCell ref="B350:B354"/>
    <mergeCell ref="C350:C354"/>
    <mergeCell ref="D350:D354"/>
    <mergeCell ref="E350:E354"/>
    <mergeCell ref="J350:J354"/>
    <mergeCell ref="F350:F354"/>
    <mergeCell ref="B366:B370"/>
    <mergeCell ref="C366:C370"/>
    <mergeCell ref="D366:D370"/>
    <mergeCell ref="E366:E370"/>
    <mergeCell ref="J366:J370"/>
    <mergeCell ref="F366:F370"/>
    <mergeCell ref="B361:B365"/>
    <mergeCell ref="C361:C365"/>
    <mergeCell ref="D361:D365"/>
    <mergeCell ref="E361:E365"/>
    <mergeCell ref="J361:J365"/>
    <mergeCell ref="F361:F365"/>
    <mergeCell ref="B371:B375"/>
    <mergeCell ref="C371:C375"/>
    <mergeCell ref="D371:D375"/>
    <mergeCell ref="E371:E375"/>
    <mergeCell ref="J371:J375"/>
    <mergeCell ref="F371:F375"/>
    <mergeCell ref="B381:B385"/>
    <mergeCell ref="C381:C385"/>
    <mergeCell ref="D381:D385"/>
    <mergeCell ref="E381:E385"/>
    <mergeCell ref="F381:F385"/>
    <mergeCell ref="B386:B390"/>
    <mergeCell ref="C386:C390"/>
    <mergeCell ref="D386:D390"/>
    <mergeCell ref="E386:E390"/>
    <mergeCell ref="J386:J390"/>
    <mergeCell ref="K376:K377"/>
    <mergeCell ref="J381:J385"/>
    <mergeCell ref="B376:B378"/>
    <mergeCell ref="C376:C378"/>
    <mergeCell ref="D376:D378"/>
    <mergeCell ref="G376:G378"/>
    <mergeCell ref="H376:H378"/>
    <mergeCell ref="E376:E378"/>
    <mergeCell ref="F386:F390"/>
    <mergeCell ref="B396:B400"/>
    <mergeCell ref="C396:C400"/>
    <mergeCell ref="D396:D400"/>
    <mergeCell ref="E396:E400"/>
    <mergeCell ref="J396:J400"/>
    <mergeCell ref="F396:F400"/>
    <mergeCell ref="B391:B395"/>
    <mergeCell ref="C391:C395"/>
    <mergeCell ref="D391:D395"/>
    <mergeCell ref="E391:E395"/>
    <mergeCell ref="J391:J395"/>
    <mergeCell ref="F391:F395"/>
    <mergeCell ref="B407:B411"/>
    <mergeCell ref="C407:C411"/>
    <mergeCell ref="D407:D411"/>
    <mergeCell ref="E407:E411"/>
    <mergeCell ref="J407:J411"/>
    <mergeCell ref="F407:F411"/>
    <mergeCell ref="B402:B406"/>
    <mergeCell ref="C402:C406"/>
    <mergeCell ref="D402:D406"/>
    <mergeCell ref="E402:E406"/>
    <mergeCell ref="J402:J406"/>
    <mergeCell ref="F402:F406"/>
    <mergeCell ref="B417:B421"/>
    <mergeCell ref="C417:C421"/>
    <mergeCell ref="D417:D421"/>
    <mergeCell ref="E417:E421"/>
    <mergeCell ref="J417:J421"/>
    <mergeCell ref="F417:F421"/>
    <mergeCell ref="B412:B416"/>
    <mergeCell ref="C412:C416"/>
    <mergeCell ref="D412:D416"/>
    <mergeCell ref="E412:E416"/>
    <mergeCell ref="J412:J416"/>
    <mergeCell ref="F412:F416"/>
    <mergeCell ref="B427:B431"/>
    <mergeCell ref="C427:C431"/>
    <mergeCell ref="D427:D431"/>
    <mergeCell ref="E427:E431"/>
    <mergeCell ref="J427:J431"/>
    <mergeCell ref="F427:F431"/>
    <mergeCell ref="B422:B426"/>
    <mergeCell ref="C422:C426"/>
    <mergeCell ref="D422:D426"/>
    <mergeCell ref="E422:E426"/>
    <mergeCell ref="J422:J426"/>
    <mergeCell ref="F422:F426"/>
    <mergeCell ref="B437:B441"/>
    <mergeCell ref="C437:C441"/>
    <mergeCell ref="D437:D441"/>
    <mergeCell ref="E437:E441"/>
    <mergeCell ref="J437:J441"/>
    <mergeCell ref="F437:F441"/>
    <mergeCell ref="B432:B436"/>
    <mergeCell ref="C432:C436"/>
    <mergeCell ref="D432:D436"/>
    <mergeCell ref="E432:E436"/>
    <mergeCell ref="J432:J436"/>
    <mergeCell ref="F432:F436"/>
    <mergeCell ref="B447:B451"/>
    <mergeCell ref="C447:C451"/>
    <mergeCell ref="D447:D451"/>
    <mergeCell ref="E447:E451"/>
    <mergeCell ref="J447:J451"/>
    <mergeCell ref="F447:F451"/>
    <mergeCell ref="B442:B446"/>
    <mergeCell ref="C442:C446"/>
    <mergeCell ref="D442:D446"/>
    <mergeCell ref="E442:E446"/>
    <mergeCell ref="J442:J446"/>
    <mergeCell ref="F442:F446"/>
    <mergeCell ref="B458:B462"/>
    <mergeCell ref="C458:C462"/>
    <mergeCell ref="D458:D462"/>
    <mergeCell ref="E458:E462"/>
    <mergeCell ref="J458:J462"/>
    <mergeCell ref="F458:F462"/>
    <mergeCell ref="B453:B457"/>
    <mergeCell ref="C453:C457"/>
    <mergeCell ref="D453:D457"/>
    <mergeCell ref="E453:E457"/>
    <mergeCell ref="J453:J457"/>
    <mergeCell ref="F453:F457"/>
    <mergeCell ref="K463:K464"/>
    <mergeCell ref="J468:J472"/>
    <mergeCell ref="B463:B465"/>
    <mergeCell ref="C463:C465"/>
    <mergeCell ref="D463:D465"/>
    <mergeCell ref="G463:G465"/>
    <mergeCell ref="H463:H465"/>
    <mergeCell ref="E463:E465"/>
    <mergeCell ref="B468:B472"/>
    <mergeCell ref="C468:C472"/>
    <mergeCell ref="D468:D472"/>
    <mergeCell ref="E468:E472"/>
    <mergeCell ref="F468:F472"/>
    <mergeCell ref="B478:B482"/>
    <mergeCell ref="C478:C482"/>
    <mergeCell ref="D478:D482"/>
    <mergeCell ref="E478:E482"/>
    <mergeCell ref="J478:J482"/>
    <mergeCell ref="F478:F482"/>
    <mergeCell ref="B473:B477"/>
    <mergeCell ref="C473:C477"/>
    <mergeCell ref="D473:D477"/>
    <mergeCell ref="E473:E477"/>
    <mergeCell ref="J473:J477"/>
    <mergeCell ref="F473:F477"/>
    <mergeCell ref="B488:B492"/>
    <mergeCell ref="C488:C492"/>
    <mergeCell ref="D488:D492"/>
    <mergeCell ref="E488:E492"/>
    <mergeCell ref="J488:J492"/>
    <mergeCell ref="F488:F492"/>
    <mergeCell ref="B483:B487"/>
    <mergeCell ref="C483:C487"/>
    <mergeCell ref="D483:D487"/>
    <mergeCell ref="E483:E487"/>
    <mergeCell ref="J483:J487"/>
    <mergeCell ref="F483:F487"/>
    <mergeCell ref="B498:B502"/>
    <mergeCell ref="C498:C502"/>
    <mergeCell ref="D498:D502"/>
    <mergeCell ref="E498:E502"/>
    <mergeCell ref="J498:J502"/>
    <mergeCell ref="F498:F502"/>
    <mergeCell ref="B493:B497"/>
    <mergeCell ref="C493:C497"/>
    <mergeCell ref="D493:D497"/>
    <mergeCell ref="E493:E497"/>
    <mergeCell ref="J493:J497"/>
    <mergeCell ref="F493:F497"/>
    <mergeCell ref="J513:J517"/>
    <mergeCell ref="F513:F517"/>
    <mergeCell ref="B508:B512"/>
    <mergeCell ref="C508:C512"/>
    <mergeCell ref="D508:D512"/>
    <mergeCell ref="E508:E512"/>
    <mergeCell ref="J508:J512"/>
    <mergeCell ref="F508:F512"/>
    <mergeCell ref="B503:B507"/>
    <mergeCell ref="C503:C507"/>
    <mergeCell ref="D503:D507"/>
    <mergeCell ref="E503:E507"/>
    <mergeCell ref="J503:J507"/>
    <mergeCell ref="F503:F507"/>
    <mergeCell ref="J528:J532"/>
    <mergeCell ref="F528:F532"/>
    <mergeCell ref="B523:B527"/>
    <mergeCell ref="C523:C527"/>
    <mergeCell ref="D523:D527"/>
    <mergeCell ref="E523:E527"/>
    <mergeCell ref="J523:J527"/>
    <mergeCell ref="F523:F527"/>
    <mergeCell ref="B518:B522"/>
    <mergeCell ref="C518:C522"/>
    <mergeCell ref="D518:D522"/>
    <mergeCell ref="E518:E522"/>
    <mergeCell ref="J518:J522"/>
    <mergeCell ref="F518:F522"/>
    <mergeCell ref="J543:J547"/>
    <mergeCell ref="F543:F547"/>
    <mergeCell ref="B538:B542"/>
    <mergeCell ref="C538:C542"/>
    <mergeCell ref="D538:D542"/>
    <mergeCell ref="E538:E542"/>
    <mergeCell ref="J538:J542"/>
    <mergeCell ref="F538:F542"/>
    <mergeCell ref="B533:B537"/>
    <mergeCell ref="C533:C537"/>
    <mergeCell ref="D533:D537"/>
    <mergeCell ref="E533:E537"/>
    <mergeCell ref="J533:J537"/>
    <mergeCell ref="F533:F537"/>
    <mergeCell ref="K548:K549"/>
    <mergeCell ref="J553:J557"/>
    <mergeCell ref="B548:B550"/>
    <mergeCell ref="C548:C550"/>
    <mergeCell ref="D548:D550"/>
    <mergeCell ref="G548:G550"/>
    <mergeCell ref="H548:H550"/>
    <mergeCell ref="E548:E550"/>
    <mergeCell ref="B553:B557"/>
    <mergeCell ref="C553:C557"/>
    <mergeCell ref="D553:D557"/>
    <mergeCell ref="E553:E557"/>
    <mergeCell ref="F553:F557"/>
    <mergeCell ref="J563:J567"/>
    <mergeCell ref="F563:F567"/>
    <mergeCell ref="B558:B562"/>
    <mergeCell ref="C558:C562"/>
    <mergeCell ref="D558:D562"/>
    <mergeCell ref="E558:E562"/>
    <mergeCell ref="J558:J562"/>
    <mergeCell ref="F558:F562"/>
    <mergeCell ref="B563:B567"/>
    <mergeCell ref="J573:J577"/>
    <mergeCell ref="F573:F577"/>
    <mergeCell ref="B568:B572"/>
    <mergeCell ref="C568:C572"/>
    <mergeCell ref="D568:D572"/>
    <mergeCell ref="E568:E572"/>
    <mergeCell ref="J568:J572"/>
    <mergeCell ref="F568:F572"/>
    <mergeCell ref="B583:B587"/>
    <mergeCell ref="C583:C587"/>
    <mergeCell ref="D583:D587"/>
    <mergeCell ref="E583:E587"/>
    <mergeCell ref="J588:J592"/>
    <mergeCell ref="F588:F592"/>
    <mergeCell ref="B603:B607"/>
    <mergeCell ref="C603:C607"/>
    <mergeCell ref="D603:D607"/>
    <mergeCell ref="E603:E607"/>
    <mergeCell ref="J583:J587"/>
    <mergeCell ref="F583:F587"/>
    <mergeCell ref="B578:B582"/>
    <mergeCell ref="C578:C582"/>
    <mergeCell ref="D578:D582"/>
    <mergeCell ref="E578:E582"/>
    <mergeCell ref="J578:J582"/>
    <mergeCell ref="F578:F582"/>
    <mergeCell ref="J603:J607"/>
    <mergeCell ref="F603:F607"/>
    <mergeCell ref="B598:B602"/>
    <mergeCell ref="C598:C602"/>
    <mergeCell ref="D598:D602"/>
    <mergeCell ref="E598:E602"/>
    <mergeCell ref="J598:J602"/>
    <mergeCell ref="F598:F602"/>
    <mergeCell ref="B593:B597"/>
    <mergeCell ref="C593:C597"/>
    <mergeCell ref="J593:J597"/>
    <mergeCell ref="F593:F597"/>
    <mergeCell ref="J613:J617"/>
    <mergeCell ref="F613:F617"/>
    <mergeCell ref="B608:B612"/>
    <mergeCell ref="C608:C612"/>
    <mergeCell ref="D608:D612"/>
    <mergeCell ref="E608:E612"/>
    <mergeCell ref="J608:J612"/>
    <mergeCell ref="F608:F612"/>
    <mergeCell ref="B613:B617"/>
    <mergeCell ref="C613:C617"/>
    <mergeCell ref="D613:D617"/>
    <mergeCell ref="E613:E617"/>
    <mergeCell ref="J633:J637"/>
    <mergeCell ref="F633:F637"/>
    <mergeCell ref="J628:J632"/>
    <mergeCell ref="F628:F632"/>
    <mergeCell ref="B628:B632"/>
    <mergeCell ref="C628:C632"/>
    <mergeCell ref="D628:D632"/>
    <mergeCell ref="K618:K619"/>
    <mergeCell ref="J623:J627"/>
    <mergeCell ref="B618:B620"/>
    <mergeCell ref="C618:C620"/>
    <mergeCell ref="D618:D620"/>
    <mergeCell ref="G618:G620"/>
    <mergeCell ref="H618:H620"/>
    <mergeCell ref="E618:E620"/>
    <mergeCell ref="B623:B627"/>
    <mergeCell ref="C623:C627"/>
    <mergeCell ref="D623:D627"/>
    <mergeCell ref="E623:E627"/>
    <mergeCell ref="F623:F627"/>
    <mergeCell ref="B643:B647"/>
    <mergeCell ref="C643:C647"/>
    <mergeCell ref="D643:D647"/>
    <mergeCell ref="E643:E647"/>
    <mergeCell ref="J643:J647"/>
    <mergeCell ref="F643:F647"/>
    <mergeCell ref="B638:B642"/>
    <mergeCell ref="C638:C642"/>
    <mergeCell ref="D638:D642"/>
    <mergeCell ref="E638:E642"/>
    <mergeCell ref="J638:J642"/>
    <mergeCell ref="F638:F642"/>
    <mergeCell ref="E528:E532"/>
    <mergeCell ref="B513:B517"/>
    <mergeCell ref="C513:C517"/>
    <mergeCell ref="D513:D517"/>
    <mergeCell ref="E513:E517"/>
    <mergeCell ref="E628:E632"/>
    <mergeCell ref="B633:B637"/>
    <mergeCell ref="C633:C637"/>
    <mergeCell ref="D633:D637"/>
    <mergeCell ref="E633:E637"/>
    <mergeCell ref="D593:D597"/>
    <mergeCell ref="E593:E597"/>
    <mergeCell ref="B588:B592"/>
    <mergeCell ref="C588:C592"/>
    <mergeCell ref="D588:D592"/>
    <mergeCell ref="E588:E592"/>
    <mergeCell ref="B573:B577"/>
    <mergeCell ref="C573:C577"/>
    <mergeCell ref="D573:D577"/>
    <mergeCell ref="E573:E577"/>
    <mergeCell ref="F319:F323"/>
    <mergeCell ref="C563:C567"/>
    <mergeCell ref="D563:D567"/>
    <mergeCell ref="E563:E567"/>
    <mergeCell ref="B543:B547"/>
    <mergeCell ref="C543:C547"/>
    <mergeCell ref="D543:D547"/>
    <mergeCell ref="E543:E547"/>
    <mergeCell ref="B528:B532"/>
    <mergeCell ref="C528:C532"/>
    <mergeCell ref="D528:D5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16</vt:i4>
      </vt:variant>
    </vt:vector>
  </HeadingPairs>
  <TitlesOfParts>
    <vt:vector size="30" baseType="lpstr">
      <vt:lpstr>RESUMEN LOTES</vt:lpstr>
      <vt:lpstr>INSTRUCCIONES</vt:lpstr>
      <vt:lpstr>Anx I pg 1 oferta</vt:lpstr>
      <vt:lpstr>L1 ANDA EXTR Ceuta Melilla</vt:lpstr>
      <vt:lpstr>L2 ARAG NAVA RIOJ PVASC</vt:lpstr>
      <vt:lpstr>L3 MADR (Prado Rey)</vt:lpstr>
      <vt:lpstr>L4 MADR (TorreEspaña y resto)</vt:lpstr>
      <vt:lpstr>L5 VALE CMAN BALE MURC</vt:lpstr>
      <vt:lpstr>L6 CANT CLEON ASTU</vt:lpstr>
      <vt:lpstr>L7 CATAL</vt:lpstr>
      <vt:lpstr>L8 GALIC</vt:lpstr>
      <vt:lpstr>L9 CANAR</vt:lpstr>
      <vt:lpstr>% admitidos</vt:lpstr>
      <vt:lpstr>DATOS CENTROS</vt:lpstr>
      <vt:lpstr>'L1 ANDA EXTR Ceuta Melilla'!_Hlk192850226</vt:lpstr>
      <vt:lpstr>'% admitidos'!_Hlk193094503</vt:lpstr>
      <vt:lpstr>'% admitidos'!_Hlk193097860</vt:lpstr>
      <vt:lpstr>'L9 CANAR'!_Hlk202344527</vt:lpstr>
      <vt:lpstr>'% admitidos'!Área_de_impresión</vt:lpstr>
      <vt:lpstr>'Anx I pg 1 oferta'!Área_de_impresión</vt:lpstr>
      <vt:lpstr>'L1 ANDA EXTR Ceuta Melilla'!Área_de_impresión</vt:lpstr>
      <vt:lpstr>'L2 ARAG NAVA RIOJ PVASC'!Área_de_impresión</vt:lpstr>
      <vt:lpstr>'L3 MADR (Prado Rey)'!Área_de_impresión</vt:lpstr>
      <vt:lpstr>'L4 MADR (TorreEspaña y resto)'!Área_de_impresión</vt:lpstr>
      <vt:lpstr>'L5 VALE CMAN BALE MURC'!Área_de_impresión</vt:lpstr>
      <vt:lpstr>'L6 CANT CLEON ASTU'!Área_de_impresión</vt:lpstr>
      <vt:lpstr>'L7 CATAL'!Área_de_impresión</vt:lpstr>
      <vt:lpstr>'L8 GALIC'!Área_de_impresión</vt:lpstr>
      <vt:lpstr>'L9 CANAR'!Área_de_impresión</vt:lpstr>
      <vt:lpstr>'RESUMEN LOTES'!Área_de_impresión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2025-07-24T11:44:33Z</cp:lastPrinted>
  <dcterms:created xsi:type="dcterms:W3CDTF">2023-03-06T09:12:22Z</dcterms:created>
  <dcterms:modified xsi:type="dcterms:W3CDTF">2025-07-24T12:25:42Z</dcterms:modified>
</cp:coreProperties>
</file>