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U:\compras\general\unidad_a\1.- EXPEDIENTES\S-03564-2025 Equipamiento SDI para las continuidades\INFORMES\"/>
    </mc:Choice>
  </mc:AlternateContent>
  <xr:revisionPtr revIDLastSave="0" documentId="13_ncr:1_{420EE1C5-D4C7-4C84-9073-216201AA1D55}" xr6:coauthVersionLast="47" xr6:coauthVersionMax="47" xr10:uidLastSave="{00000000-0000-0000-0000-000000000000}"/>
  <bookViews>
    <workbookView xWindow="-28920" yWindow="-120" windowWidth="29040" windowHeight="15720" tabRatio="752" xr2:uid="{00000000-000D-0000-FFFF-FFFF00000000}"/>
  </bookViews>
  <sheets>
    <sheet name="ALTERNATIVA ADJUDICADA" sheetId="6" r:id="rId1"/>
    <sheet name="valoración" sheetId="5" r:id="rId2"/>
  </sheets>
  <definedNames>
    <definedName name="_xlnm.Print_Area" localSheetId="0">'ALTERNATIVA ADJUDICADA'!$A$1:$K$22</definedName>
    <definedName name="_xlnm.Print_Area" localSheetId="1">valoración!$A$2:$Q$30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25" i="6" l="1"/>
  <c r="F24" i="6"/>
  <c r="F23" i="6"/>
  <c r="F22" i="6"/>
  <c r="F21" i="6"/>
  <c r="G21" i="6" s="1"/>
  <c r="F20" i="6"/>
  <c r="F19" i="6"/>
  <c r="G19" i="6" s="1"/>
  <c r="F18" i="6"/>
  <c r="G18" i="6" s="1"/>
  <c r="F17" i="6"/>
  <c r="F16" i="6"/>
  <c r="F15" i="6"/>
  <c r="F14" i="6"/>
  <c r="F13" i="6"/>
  <c r="G13" i="6" s="1"/>
  <c r="F12" i="6"/>
  <c r="F11" i="6"/>
  <c r="G11" i="6" s="1"/>
  <c r="J11" i="6" s="1"/>
  <c r="F10" i="6"/>
  <c r="G10" i="6" s="1"/>
  <c r="F9" i="6"/>
  <c r="F9" i="5"/>
  <c r="K25" i="6"/>
  <c r="K24" i="6"/>
  <c r="K23" i="6"/>
  <c r="K22" i="6"/>
  <c r="K21" i="6"/>
  <c r="K20" i="6"/>
  <c r="K19" i="6"/>
  <c r="K18" i="6"/>
  <c r="K17" i="6"/>
  <c r="K16" i="6"/>
  <c r="K15" i="6"/>
  <c r="K14" i="6"/>
  <c r="K13" i="6"/>
  <c r="K12" i="6"/>
  <c r="K11" i="6"/>
  <c r="K10" i="6"/>
  <c r="K9" i="6"/>
  <c r="G25" i="6"/>
  <c r="G24" i="6"/>
  <c r="G23" i="6"/>
  <c r="I22" i="6"/>
  <c r="G22" i="6"/>
  <c r="J22" i="6" s="1"/>
  <c r="G20" i="6"/>
  <c r="I19" i="6"/>
  <c r="G17" i="6"/>
  <c r="G16" i="6"/>
  <c r="I15" i="6"/>
  <c r="G15" i="6"/>
  <c r="J15" i="6" s="1"/>
  <c r="G14" i="6"/>
  <c r="G12" i="6"/>
  <c r="I11" i="6"/>
  <c r="G9" i="6"/>
  <c r="C26" i="6"/>
  <c r="I25" i="6" s="1"/>
  <c r="F14" i="5"/>
  <c r="F13" i="5"/>
  <c r="F10" i="5"/>
  <c r="F11" i="5"/>
  <c r="F12" i="5"/>
  <c r="G12" i="5" s="1"/>
  <c r="L12" i="5"/>
  <c r="F25" i="5"/>
  <c r="F24" i="5"/>
  <c r="F23" i="5"/>
  <c r="F21" i="5"/>
  <c r="G21" i="5" s="1"/>
  <c r="F22" i="5"/>
  <c r="F20" i="5"/>
  <c r="G20" i="5" s="1"/>
  <c r="F18" i="5"/>
  <c r="G18" i="5" s="1"/>
  <c r="C26" i="5"/>
  <c r="I10" i="5" s="1"/>
  <c r="I23" i="6" l="1"/>
  <c r="J23" i="6" s="1"/>
  <c r="I12" i="6"/>
  <c r="J12" i="6" s="1"/>
  <c r="I16" i="6"/>
  <c r="J16" i="6" s="1"/>
  <c r="I20" i="6"/>
  <c r="J20" i="6" s="1"/>
  <c r="J21" i="6"/>
  <c r="I9" i="6"/>
  <c r="J9" i="6" s="1"/>
  <c r="I13" i="6"/>
  <c r="J13" i="6" s="1"/>
  <c r="I17" i="6"/>
  <c r="J17" i="6" s="1"/>
  <c r="I21" i="6"/>
  <c r="I24" i="6"/>
  <c r="J24" i="6" s="1"/>
  <c r="J25" i="6"/>
  <c r="I10" i="6"/>
  <c r="J10" i="6" s="1"/>
  <c r="I14" i="6"/>
  <c r="J14" i="6" s="1"/>
  <c r="J19" i="6"/>
  <c r="L18" i="5"/>
  <c r="L25" i="5"/>
  <c r="M25" i="5" s="1"/>
  <c r="G25" i="5"/>
  <c r="L24" i="5"/>
  <c r="G24" i="5"/>
  <c r="L23" i="5"/>
  <c r="G23" i="5"/>
  <c r="L22" i="5"/>
  <c r="M22" i="5" s="1"/>
  <c r="G22" i="5"/>
  <c r="L21" i="5"/>
  <c r="L20" i="5"/>
  <c r="M21" i="5" l="1"/>
  <c r="M23" i="5"/>
  <c r="M24" i="5"/>
  <c r="M20" i="5"/>
  <c r="J26" i="6"/>
  <c r="F17" i="5"/>
  <c r="F19" i="5"/>
  <c r="F16" i="5"/>
  <c r="F15" i="5"/>
  <c r="G9" i="5"/>
  <c r="A4" i="6" l="1"/>
  <c r="A3" i="6"/>
  <c r="A2" i="6"/>
  <c r="P19" i="5" l="1"/>
  <c r="L19" i="5"/>
  <c r="G19" i="5"/>
  <c r="L17" i="5"/>
  <c r="M17" i="5" s="1"/>
  <c r="G17" i="5"/>
  <c r="L16" i="5"/>
  <c r="G16" i="5"/>
  <c r="L15" i="5"/>
  <c r="G15" i="5"/>
  <c r="L14" i="5"/>
  <c r="G14" i="5"/>
  <c r="L13" i="5"/>
  <c r="G13" i="5"/>
  <c r="L11" i="5"/>
  <c r="G11" i="5"/>
  <c r="L10" i="5"/>
  <c r="G10" i="5"/>
  <c r="L9" i="5"/>
  <c r="M16" i="5" l="1"/>
  <c r="M18" i="5"/>
  <c r="N18" i="5"/>
  <c r="M19" i="5"/>
  <c r="M12" i="5"/>
  <c r="N12" i="5" s="1"/>
  <c r="I11" i="5"/>
  <c r="J11" i="5" s="1"/>
  <c r="P14" i="5"/>
  <c r="P11" i="5"/>
  <c r="P9" i="5"/>
  <c r="P13" i="5"/>
  <c r="J10" i="5"/>
  <c r="I17" i="5"/>
  <c r="I12" i="5"/>
  <c r="J12" i="5" s="1"/>
  <c r="I19" i="5"/>
  <c r="J19" i="5" s="1"/>
  <c r="I13" i="5"/>
  <c r="J13" i="5" s="1"/>
  <c r="P12" i="5"/>
  <c r="Q12" i="5" s="1"/>
  <c r="I15" i="5"/>
  <c r="J15" i="5" s="1"/>
  <c r="I16" i="5"/>
  <c r="J16" i="5" s="1"/>
  <c r="P16" i="5"/>
  <c r="I14" i="5"/>
  <c r="J14" i="5" s="1"/>
  <c r="P15" i="5"/>
  <c r="I24" i="5"/>
  <c r="J24" i="5" s="1"/>
  <c r="I25" i="5"/>
  <c r="J25" i="5" s="1"/>
  <c r="P24" i="5"/>
  <c r="P25" i="5"/>
  <c r="I9" i="5"/>
  <c r="J9" i="5" s="1"/>
  <c r="P10" i="5"/>
  <c r="N24" i="5"/>
  <c r="N25" i="5"/>
  <c r="N23" i="5"/>
  <c r="I23" i="5"/>
  <c r="J23" i="5" s="1"/>
  <c r="P23" i="5"/>
  <c r="P17" i="5"/>
  <c r="N21" i="5"/>
  <c r="N20" i="5"/>
  <c r="N22" i="5"/>
  <c r="I21" i="5"/>
  <c r="J21" i="5" s="1"/>
  <c r="P20" i="5"/>
  <c r="I20" i="5"/>
  <c r="J20" i="5" s="1"/>
  <c r="I22" i="5"/>
  <c r="J22" i="5" s="1"/>
  <c r="P21" i="5"/>
  <c r="P22" i="5"/>
  <c r="J17" i="5"/>
  <c r="N17" i="5"/>
  <c r="M11" i="5"/>
  <c r="N11" i="5" s="1"/>
  <c r="N16" i="5"/>
  <c r="M10" i="5"/>
  <c r="N10" i="5" s="1"/>
  <c r="M15" i="5"/>
  <c r="N15" i="5" s="1"/>
  <c r="N19" i="5"/>
  <c r="Q19" i="5" s="1"/>
  <c r="M9" i="5"/>
  <c r="N9" i="5" s="1"/>
  <c r="M14" i="5"/>
  <c r="N14" i="5" s="1"/>
  <c r="M13" i="5"/>
  <c r="N13" i="5" s="1"/>
  <c r="Q11" i="5" l="1"/>
  <c r="J26" i="5"/>
  <c r="Q14" i="5"/>
  <c r="Q13" i="5"/>
  <c r="Q10" i="5"/>
  <c r="Q9" i="5"/>
  <c r="Q15" i="5"/>
  <c r="Q25" i="5"/>
  <c r="Q16" i="5"/>
  <c r="Q24" i="5"/>
  <c r="Q23" i="5"/>
  <c r="Q20" i="5"/>
  <c r="Q22" i="5"/>
  <c r="Q17" i="5"/>
  <c r="Q21" i="5"/>
  <c r="Q26" i="5" l="1"/>
</calcChain>
</file>

<file path=xl/sharedStrings.xml><?xml version="1.0" encoding="utf-8"?>
<sst xmlns="http://schemas.openxmlformats.org/spreadsheetml/2006/main" count="91" uniqueCount="38">
  <si>
    <t>Puntuación técnica</t>
  </si>
  <si>
    <t>Puntuación económica</t>
  </si>
  <si>
    <t>De conformidad con los criterios de valoración establecidos en el Pliego de Condiciones Generales de Contratación de este Expediente.</t>
  </si>
  <si>
    <t>RESUMEN PUNTUACIÓN TÉCNICA Y ECONÓMICA</t>
  </si>
  <si>
    <t>Lotes</t>
  </si>
  <si>
    <t>Ofertas</t>
  </si>
  <si>
    <t>Valor estimado             (Sin modificación)</t>
  </si>
  <si>
    <t>FÓRMULA PUNTUACIÓN ECONÓMICA: Adaptar a cada lote, estará condicionada por el número de ofertas y por los puntos que se dan a la oferta económica.</t>
  </si>
  <si>
    <t>Puntuación Total</t>
  </si>
  <si>
    <t>Adaptar la tabla al número de lotes y ofertas recibidas, insertando o eliminando filas, tener  en cuenta si se desestima una oferta, indicar los motivos..</t>
  </si>
  <si>
    <t>Oferta seleccionada</t>
  </si>
  <si>
    <t>Factor de ponderación</t>
  </si>
  <si>
    <t>Valoración ponderada</t>
  </si>
  <si>
    <t>Valor estimado total:</t>
  </si>
  <si>
    <t>Puntuación total ponderada</t>
  </si>
  <si>
    <t>Alternativa 1: ofertas individuales</t>
  </si>
  <si>
    <t>Baja oferta conjunta</t>
  </si>
  <si>
    <t>Total Puntuación</t>
  </si>
  <si>
    <r>
      <t>Importe Oferta</t>
    </r>
    <r>
      <rPr>
        <b/>
        <i/>
        <sz val="12"/>
        <rFont val="Tahoma"/>
        <family val="2"/>
      </rPr>
      <t xml:space="preserve"> (</t>
    </r>
    <r>
      <rPr>
        <sz val="12"/>
        <rFont val="Tahoma"/>
        <family val="2"/>
      </rPr>
      <t>Contrato + prorroga/s)</t>
    </r>
  </si>
  <si>
    <t>Celda contigua: incluir puntuación económica indicada en los pliegos. Si los lotes se valoran con diferente puntuación económica hay que tenerlo en cuenta en la fórmula.</t>
  </si>
  <si>
    <t>%  Ahorro s/ licitación</t>
  </si>
  <si>
    <t>LOTE 1: REPRODUCTOR EN DISCO DURO PARA TORRESPAÑA</t>
  </si>
  <si>
    <t>LOTE 2: SINCRONIZADOR DE FRAME Y CONVERSOR UP, DOWN Y CROSS PARA TORRESPAÑA</t>
  </si>
  <si>
    <t>LOTE 3: MATRIZ DE VÍDEO DIGITAL 12G-SDI PARA TORRESPAÑA</t>
  </si>
  <si>
    <t>LOTE 4: 	CODIFICADOR NDI PARA TORRESPAÑA</t>
  </si>
  <si>
    <t>LOTE 5: EQUIPAMIENTO AUXILIAR PARA SANT CUGAT</t>
  </si>
  <si>
    <t>LOTE 6: MONITORADO DE VÍDEO PARA SANT CUGAT</t>
  </si>
  <si>
    <t>NRD MULTIMEDIA SL</t>
  </si>
  <si>
    <t>MONCADA Y LORENZO SA</t>
  </si>
  <si>
    <t>BROAD SERVICE TECHICAL SUPPORT, S.L.</t>
  </si>
  <si>
    <t>DATOS MEDIA TECHNOLOGIES S.A.</t>
  </si>
  <si>
    <t>PROVITEC INSTALACIONES Y SISTEMAS S.L</t>
  </si>
  <si>
    <t>ALBALÁ INGENIEROS, S.A.</t>
  </si>
  <si>
    <t>APLICACIONES ELECTRONICAS QUASAR, S.A.</t>
  </si>
  <si>
    <t>PROPUESTA DE ADJUDICACIÓN DEL EXPEDIENTE S-03564-2025</t>
  </si>
  <si>
    <t>"Equipamiento SDI para las Continuidades"</t>
  </si>
  <si>
    <t>Alternativa 2: oferta conjunta "NRD MULTIMEDIA SL" por los cuatro lotes (3% de descuento)</t>
  </si>
  <si>
    <t>Madrid, a 17 de septiembre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</si>
</sst>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* #,##0.00\ _€_-;\-* #,##0.00\ _€_-;_-* &quot;-&quot;??\ _€_-;_-@_-"/>
    <numFmt numFmtId="165" formatCode="_-* #,##0\ _€_-;\-* #,##0\ _€_-;_-* &quot;-&quot;??\ _€_-;_-@_-"/>
    <numFmt numFmtId="166" formatCode="#,##0.00\ &quot;€&quot;"/>
  </numFmts>
  <fonts count="20" x14ac:knownFonts="1">
    <font>
      <sz val="10"/>
      <name val="Arial"/>
    </font>
    <font>
      <sz val="8"/>
      <name val="Tahoma"/>
      <family val="2"/>
    </font>
    <font>
      <b/>
      <sz val="8"/>
      <name val="Tahoma"/>
      <family val="2"/>
    </font>
    <font>
      <sz val="10"/>
      <name val="Arial"/>
      <family val="2"/>
    </font>
    <font>
      <sz val="12"/>
      <name val="Arial"/>
      <family val="2"/>
    </font>
    <font>
      <sz val="11"/>
      <name val="Tahoma"/>
      <family val="2"/>
    </font>
    <font>
      <sz val="12"/>
      <name val="Tahoma"/>
      <family val="2"/>
    </font>
    <font>
      <sz val="10"/>
      <name val="Arial"/>
      <family val="2"/>
    </font>
    <font>
      <b/>
      <u/>
      <sz val="12"/>
      <name val="Bookman Old Style"/>
      <family val="1"/>
    </font>
    <font>
      <b/>
      <sz val="12"/>
      <name val="Tahoma"/>
      <family val="2"/>
    </font>
    <font>
      <b/>
      <sz val="10"/>
      <color rgb="FFFF0000"/>
      <name val="Arial"/>
      <family val="2"/>
    </font>
    <font>
      <b/>
      <sz val="8"/>
      <color rgb="FFFF0000"/>
      <name val="Arial"/>
      <family val="2"/>
    </font>
    <font>
      <b/>
      <sz val="8"/>
      <color rgb="FFFF0000"/>
      <name val="Tahoma"/>
      <family val="2"/>
    </font>
    <font>
      <b/>
      <i/>
      <sz val="12"/>
      <name val="Tahoma"/>
      <family val="2"/>
    </font>
    <font>
      <b/>
      <u/>
      <sz val="14"/>
      <color theme="9" tint="-0.249977111117893"/>
      <name val="Tahoma"/>
      <family val="2"/>
    </font>
    <font>
      <sz val="10"/>
      <name val="Arial"/>
      <family val="2"/>
    </font>
    <font>
      <b/>
      <sz val="10.5"/>
      <name val="Tahoma"/>
      <family val="2"/>
    </font>
    <font>
      <b/>
      <sz val="12"/>
      <name val="Arial"/>
      <family val="2"/>
    </font>
    <font>
      <b/>
      <sz val="12"/>
      <color rgb="FFFF0000"/>
      <name val="Tahoma"/>
      <family val="2"/>
    </font>
    <font>
      <b/>
      <sz val="14"/>
      <color theme="9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7" fillId="0" borderId="0" applyFont="0" applyFill="0" applyBorder="0" applyAlignment="0" applyProtection="0"/>
    <xf numFmtId="43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99">
    <xf numFmtId="0" fontId="0" fillId="0" borderId="0" xfId="0"/>
    <xf numFmtId="0" fontId="5" fillId="0" borderId="6" xfId="0" applyFont="1" applyBorder="1"/>
    <xf numFmtId="0" fontId="6" fillId="0" borderId="0" xfId="0" applyFont="1" applyFill="1" applyBorder="1" applyAlignment="1">
      <alignment vertical="center" wrapText="1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right" indent="1"/>
    </xf>
    <xf numFmtId="0" fontId="2" fillId="0" borderId="0" xfId="0" applyFont="1" applyFill="1" applyBorder="1" applyAlignment="1">
      <alignment horizontal="right" indent="1"/>
    </xf>
    <xf numFmtId="0" fontId="8" fillId="0" borderId="0" xfId="0" applyFont="1" applyFill="1" applyBorder="1" applyAlignment="1">
      <alignment horizontal="center" wrapText="1"/>
    </xf>
    <xf numFmtId="0" fontId="8" fillId="0" borderId="0" xfId="0" applyFont="1" applyFill="1" applyBorder="1" applyAlignment="1">
      <alignment horizontal="center"/>
    </xf>
    <xf numFmtId="0" fontId="6" fillId="0" borderId="0" xfId="0" applyFont="1" applyFill="1" applyBorder="1"/>
    <xf numFmtId="0" fontId="4" fillId="0" borderId="0" xfId="0" applyFont="1" applyFill="1" applyBorder="1" applyAlignment="1">
      <alignment vertical="center" wrapText="1"/>
    </xf>
    <xf numFmtId="0" fontId="3" fillId="0" borderId="0" xfId="0" applyFont="1" applyFill="1" applyBorder="1"/>
    <xf numFmtId="0" fontId="10" fillId="0" borderId="0" xfId="0" applyFont="1" applyAlignment="1">
      <alignment vertical="center" wrapText="1"/>
    </xf>
    <xf numFmtId="0" fontId="12" fillId="0" borderId="0" xfId="0" applyFont="1" applyFill="1" applyBorder="1"/>
    <xf numFmtId="0" fontId="11" fillId="0" borderId="2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vertical="center" wrapText="1"/>
    </xf>
    <xf numFmtId="166" fontId="6" fillId="0" borderId="12" xfId="0" applyNumberFormat="1" applyFont="1" applyFill="1" applyBorder="1" applyAlignment="1">
      <alignment horizontal="center" vertical="center"/>
    </xf>
    <xf numFmtId="4" fontId="6" fillId="0" borderId="13" xfId="0" applyNumberFormat="1" applyFont="1" applyFill="1" applyBorder="1" applyAlignment="1">
      <alignment horizontal="center" vertical="center"/>
    </xf>
    <xf numFmtId="166" fontId="6" fillId="0" borderId="11" xfId="0" applyNumberFormat="1" applyFont="1" applyFill="1" applyBorder="1" applyAlignment="1">
      <alignment horizontal="right" vertical="center" indent="1"/>
    </xf>
    <xf numFmtId="4" fontId="6" fillId="0" borderId="12" xfId="0" applyNumberFormat="1" applyFont="1" applyFill="1" applyBorder="1" applyAlignment="1">
      <alignment horizontal="right" vertical="center" indent="1"/>
    </xf>
    <xf numFmtId="166" fontId="6" fillId="4" borderId="7" xfId="0" applyNumberFormat="1" applyFont="1" applyFill="1" applyBorder="1" applyAlignment="1">
      <alignment horizontal="right" vertical="center" indent="1"/>
    </xf>
    <xf numFmtId="4" fontId="6" fillId="4" borderId="2" xfId="0" applyNumberFormat="1" applyFont="1" applyFill="1" applyBorder="1" applyAlignment="1">
      <alignment horizontal="right" vertical="center" indent="1"/>
    </xf>
    <xf numFmtId="4" fontId="6" fillId="0" borderId="17" xfId="0" applyNumberFormat="1" applyFont="1" applyFill="1" applyBorder="1" applyAlignment="1">
      <alignment horizontal="center" vertical="center"/>
    </xf>
    <xf numFmtId="166" fontId="6" fillId="0" borderId="15" xfId="0" applyNumberFormat="1" applyFont="1" applyFill="1" applyBorder="1" applyAlignment="1">
      <alignment horizontal="right" vertical="center" indent="1"/>
    </xf>
    <xf numFmtId="166" fontId="6" fillId="0" borderId="2" xfId="0" applyNumberFormat="1" applyFont="1" applyFill="1" applyBorder="1" applyAlignment="1">
      <alignment horizontal="center" vertical="center"/>
    </xf>
    <xf numFmtId="4" fontId="6" fillId="0" borderId="14" xfId="0" applyNumberFormat="1" applyFont="1" applyFill="1" applyBorder="1" applyAlignment="1">
      <alignment horizontal="center" vertical="center"/>
    </xf>
    <xf numFmtId="166" fontId="6" fillId="0" borderId="7" xfId="0" applyNumberFormat="1" applyFont="1" applyFill="1" applyBorder="1" applyAlignment="1">
      <alignment horizontal="right" vertical="center" indent="1"/>
    </xf>
    <xf numFmtId="4" fontId="6" fillId="0" borderId="2" xfId="0" applyNumberFormat="1" applyFont="1" applyFill="1" applyBorder="1" applyAlignment="1">
      <alignment horizontal="right" vertical="center" indent="1"/>
    </xf>
    <xf numFmtId="0" fontId="14" fillId="0" borderId="0" xfId="0" applyFont="1" applyFill="1" applyBorder="1" applyAlignment="1">
      <alignment horizontal="center" vertical="center" wrapText="1"/>
    </xf>
    <xf numFmtId="4" fontId="6" fillId="0" borderId="20" xfId="0" applyNumberFormat="1" applyFont="1" applyFill="1" applyBorder="1" applyAlignment="1">
      <alignment horizontal="center" vertical="center"/>
    </xf>
    <xf numFmtId="166" fontId="6" fillId="0" borderId="18" xfId="0" applyNumberFormat="1" applyFont="1" applyFill="1" applyBorder="1" applyAlignment="1">
      <alignment horizontal="right" vertical="center" indent="1"/>
    </xf>
    <xf numFmtId="4" fontId="6" fillId="0" borderId="19" xfId="0" applyNumberFormat="1" applyFont="1" applyFill="1" applyBorder="1" applyAlignment="1">
      <alignment horizontal="right" vertical="center" indent="1"/>
    </xf>
    <xf numFmtId="0" fontId="12" fillId="0" borderId="0" xfId="0" applyFont="1" applyFill="1" applyBorder="1" applyAlignment="1">
      <alignment vertical="top"/>
    </xf>
    <xf numFmtId="165" fontId="5" fillId="0" borderId="12" xfId="2" applyNumberFormat="1" applyFont="1" applyFill="1" applyBorder="1" applyAlignment="1">
      <alignment horizontal="center" vertical="center"/>
    </xf>
    <xf numFmtId="10" fontId="5" fillId="0" borderId="12" xfId="0" applyNumberFormat="1" applyFont="1" applyFill="1" applyBorder="1" applyAlignment="1">
      <alignment horizontal="center" vertical="center"/>
    </xf>
    <xf numFmtId="43" fontId="5" fillId="0" borderId="13" xfId="2" applyFont="1" applyFill="1" applyBorder="1" applyAlignment="1">
      <alignment horizontal="center" vertical="center"/>
    </xf>
    <xf numFmtId="10" fontId="5" fillId="0" borderId="2" xfId="0" applyNumberFormat="1" applyFont="1" applyFill="1" applyBorder="1" applyAlignment="1">
      <alignment horizontal="center" vertical="center"/>
    </xf>
    <xf numFmtId="43" fontId="5" fillId="0" borderId="14" xfId="2" applyFont="1" applyFill="1" applyBorder="1" applyAlignment="1">
      <alignment horizontal="center" vertical="center"/>
    </xf>
    <xf numFmtId="10" fontId="5" fillId="0" borderId="16" xfId="0" applyNumberFormat="1" applyFont="1" applyFill="1" applyBorder="1" applyAlignment="1">
      <alignment horizontal="center" vertical="center"/>
    </xf>
    <xf numFmtId="43" fontId="5" fillId="0" borderId="17" xfId="2" applyFont="1" applyFill="1" applyBorder="1" applyAlignment="1">
      <alignment horizontal="center" vertical="center"/>
    </xf>
    <xf numFmtId="0" fontId="9" fillId="0" borderId="22" xfId="0" applyNumberFormat="1" applyFont="1" applyFill="1" applyBorder="1" applyAlignment="1">
      <alignment horizontal="right" vertical="center" wrapText="1"/>
    </xf>
    <xf numFmtId="166" fontId="17" fillId="0" borderId="22" xfId="0" applyNumberFormat="1" applyFont="1" applyFill="1" applyBorder="1" applyAlignment="1">
      <alignment horizontal="center" vertical="center"/>
    </xf>
    <xf numFmtId="165" fontId="5" fillId="0" borderId="11" xfId="2" applyNumberFormat="1" applyFont="1" applyFill="1" applyBorder="1" applyAlignment="1">
      <alignment horizontal="center" vertical="center"/>
    </xf>
    <xf numFmtId="165" fontId="5" fillId="0" borderId="7" xfId="2" applyNumberFormat="1" applyFont="1" applyFill="1" applyBorder="1" applyAlignment="1">
      <alignment horizontal="center" vertical="center"/>
    </xf>
    <xf numFmtId="0" fontId="1" fillId="0" borderId="2" xfId="0" applyFont="1" applyFill="1" applyBorder="1"/>
    <xf numFmtId="0" fontId="1" fillId="0" borderId="16" xfId="0" applyFont="1" applyFill="1" applyBorder="1"/>
    <xf numFmtId="0" fontId="1" fillId="0" borderId="12" xfId="0" applyFont="1" applyFill="1" applyBorder="1"/>
    <xf numFmtId="9" fontId="5" fillId="0" borderId="15" xfId="3" applyFont="1" applyFill="1" applyBorder="1" applyAlignment="1">
      <alignment horizontal="center" vertical="center"/>
    </xf>
    <xf numFmtId="9" fontId="5" fillId="0" borderId="11" xfId="3" applyFont="1" applyFill="1" applyBorder="1" applyAlignment="1">
      <alignment horizontal="center" vertical="center"/>
    </xf>
    <xf numFmtId="9" fontId="5" fillId="0" borderId="7" xfId="3" applyFont="1" applyFill="1" applyBorder="1" applyAlignment="1">
      <alignment horizontal="center" vertical="center"/>
    </xf>
    <xf numFmtId="165" fontId="5" fillId="0" borderId="15" xfId="2" applyNumberFormat="1" applyFont="1" applyFill="1" applyBorder="1" applyAlignment="1">
      <alignment horizontal="center" vertical="center"/>
    </xf>
    <xf numFmtId="0" fontId="16" fillId="0" borderId="25" xfId="0" applyNumberFormat="1" applyFont="1" applyFill="1" applyBorder="1" applyAlignment="1">
      <alignment horizontal="left" vertical="top" wrapText="1"/>
    </xf>
    <xf numFmtId="43" fontId="5" fillId="0" borderId="26" xfId="2" applyFont="1" applyFill="1" applyBorder="1" applyAlignment="1">
      <alignment horizontal="center" vertical="center"/>
    </xf>
    <xf numFmtId="4" fontId="6" fillId="4" borderId="12" xfId="0" applyNumberFormat="1" applyFont="1" applyFill="1" applyBorder="1" applyAlignment="1">
      <alignment horizontal="right" vertical="center" indent="1"/>
    </xf>
    <xf numFmtId="4" fontId="6" fillId="0" borderId="13" xfId="0" applyNumberFormat="1" applyFont="1" applyFill="1" applyBorder="1" applyAlignment="1">
      <alignment horizontal="right" vertical="center" indent="1"/>
    </xf>
    <xf numFmtId="4" fontId="6" fillId="0" borderId="17" xfId="0" applyNumberFormat="1" applyFont="1" applyFill="1" applyBorder="1" applyAlignment="1">
      <alignment horizontal="right" vertical="center" indent="1"/>
    </xf>
    <xf numFmtId="0" fontId="6" fillId="0" borderId="11" xfId="0" applyNumberFormat="1" applyFont="1" applyFill="1" applyBorder="1" applyAlignment="1">
      <alignment horizontal="center" vertical="center" wrapText="1"/>
    </xf>
    <xf numFmtId="0" fontId="6" fillId="0" borderId="7" xfId="0" applyNumberFormat="1" applyFont="1" applyFill="1" applyBorder="1" applyAlignment="1">
      <alignment horizontal="center" vertical="center" wrapText="1"/>
    </xf>
    <xf numFmtId="0" fontId="6" fillId="0" borderId="18" xfId="0" applyNumberFormat="1" applyFont="1" applyFill="1" applyBorder="1" applyAlignment="1">
      <alignment horizontal="center" vertical="center" wrapText="1"/>
    </xf>
    <xf numFmtId="0" fontId="6" fillId="0" borderId="15" xfId="0" applyNumberFormat="1" applyFont="1" applyFill="1" applyBorder="1" applyAlignment="1">
      <alignment horizontal="center" vertical="center" wrapText="1"/>
    </xf>
    <xf numFmtId="0" fontId="0" fillId="5" borderId="0" xfId="0" applyFill="1"/>
    <xf numFmtId="166" fontId="6" fillId="5" borderId="12" xfId="0" applyNumberFormat="1" applyFont="1" applyFill="1" applyBorder="1" applyAlignment="1">
      <alignment horizontal="right" vertical="center" indent="1"/>
    </xf>
    <xf numFmtId="4" fontId="6" fillId="5" borderId="12" xfId="0" applyNumberFormat="1" applyFont="1" applyFill="1" applyBorder="1" applyAlignment="1">
      <alignment horizontal="right" vertical="center" indent="1"/>
    </xf>
    <xf numFmtId="166" fontId="6" fillId="5" borderId="2" xfId="0" applyNumberFormat="1" applyFont="1" applyFill="1" applyBorder="1" applyAlignment="1">
      <alignment horizontal="right" vertical="center" indent="1"/>
    </xf>
    <xf numFmtId="4" fontId="6" fillId="5" borderId="2" xfId="0" applyNumberFormat="1" applyFont="1" applyFill="1" applyBorder="1" applyAlignment="1">
      <alignment horizontal="right" vertical="center" indent="1"/>
    </xf>
    <xf numFmtId="166" fontId="6" fillId="5" borderId="16" xfId="0" applyNumberFormat="1" applyFont="1" applyFill="1" applyBorder="1" applyAlignment="1">
      <alignment horizontal="right" vertical="center" indent="1"/>
    </xf>
    <xf numFmtId="4" fontId="6" fillId="5" borderId="16" xfId="0" applyNumberFormat="1" applyFont="1" applyFill="1" applyBorder="1" applyAlignment="1">
      <alignment horizontal="right" vertical="center" indent="1"/>
    </xf>
    <xf numFmtId="4" fontId="6" fillId="4" borderId="27" xfId="0" applyNumberFormat="1" applyFont="1" applyFill="1" applyBorder="1" applyAlignment="1">
      <alignment horizontal="center" vertical="center"/>
    </xf>
    <xf numFmtId="165" fontId="5" fillId="0" borderId="18" xfId="2" applyNumberFormat="1" applyFont="1" applyFill="1" applyBorder="1" applyAlignment="1">
      <alignment horizontal="center" vertical="center"/>
    </xf>
    <xf numFmtId="10" fontId="5" fillId="0" borderId="19" xfId="0" applyNumberFormat="1" applyFont="1" applyFill="1" applyBorder="1" applyAlignment="1">
      <alignment horizontal="center" vertical="center"/>
    </xf>
    <xf numFmtId="43" fontId="5" fillId="0" borderId="20" xfId="2" applyFont="1" applyFill="1" applyBorder="1" applyAlignment="1">
      <alignment horizontal="center" vertical="center"/>
    </xf>
    <xf numFmtId="9" fontId="5" fillId="0" borderId="18" xfId="3" applyFont="1" applyFill="1" applyBorder="1" applyAlignment="1">
      <alignment horizontal="center" vertical="center"/>
    </xf>
    <xf numFmtId="166" fontId="6" fillId="5" borderId="15" xfId="0" applyNumberFormat="1" applyFont="1" applyFill="1" applyBorder="1" applyAlignment="1">
      <alignment horizontal="right" vertical="center" indent="1"/>
    </xf>
    <xf numFmtId="166" fontId="6" fillId="5" borderId="18" xfId="0" applyNumberFormat="1" applyFont="1" applyFill="1" applyBorder="1" applyAlignment="1">
      <alignment horizontal="right" vertical="center" indent="1"/>
    </xf>
    <xf numFmtId="4" fontId="6" fillId="4" borderId="14" xfId="0" applyNumberFormat="1" applyFont="1" applyFill="1" applyBorder="1" applyAlignment="1">
      <alignment horizontal="right" vertical="center" indent="1"/>
    </xf>
    <xf numFmtId="4" fontId="6" fillId="5" borderId="14" xfId="0" applyNumberFormat="1" applyFont="1" applyFill="1" applyBorder="1" applyAlignment="1">
      <alignment horizontal="right" vertical="center" indent="1"/>
    </xf>
    <xf numFmtId="166" fontId="6" fillId="4" borderId="11" xfId="0" applyNumberFormat="1" applyFont="1" applyFill="1" applyBorder="1" applyAlignment="1">
      <alignment horizontal="right" vertical="center" indent="1"/>
    </xf>
    <xf numFmtId="166" fontId="6" fillId="5" borderId="19" xfId="0" applyNumberFormat="1" applyFont="1" applyFill="1" applyBorder="1" applyAlignment="1">
      <alignment horizontal="right" vertical="center" indent="1"/>
    </xf>
    <xf numFmtId="4" fontId="6" fillId="5" borderId="19" xfId="0" applyNumberFormat="1" applyFont="1" applyFill="1" applyBorder="1" applyAlignment="1">
      <alignment horizontal="right" vertical="center" indent="1"/>
    </xf>
    <xf numFmtId="166" fontId="6" fillId="5" borderId="21" xfId="0" applyNumberFormat="1" applyFont="1" applyFill="1" applyBorder="1" applyAlignment="1">
      <alignment vertical="center"/>
    </xf>
    <xf numFmtId="3" fontId="6" fillId="5" borderId="16" xfId="0" applyNumberFormat="1" applyFont="1" applyFill="1" applyBorder="1" applyAlignment="1">
      <alignment horizontal="right" vertical="center" indent="1"/>
    </xf>
    <xf numFmtId="4" fontId="6" fillId="5" borderId="27" xfId="0" applyNumberFormat="1" applyFont="1" applyFill="1" applyBorder="1" applyAlignment="1">
      <alignment horizontal="center" vertical="center"/>
    </xf>
    <xf numFmtId="0" fontId="19" fillId="5" borderId="0" xfId="0" applyFont="1" applyFill="1" applyAlignment="1">
      <alignment horizontal="center"/>
    </xf>
    <xf numFmtId="0" fontId="3" fillId="0" borderId="0" xfId="0" applyFont="1" applyFill="1" applyBorder="1" applyAlignment="1">
      <alignment horizontal="left" vertical="top" wrapText="1"/>
    </xf>
    <xf numFmtId="165" fontId="18" fillId="0" borderId="4" xfId="2" applyNumberFormat="1" applyFont="1" applyFill="1" applyBorder="1" applyAlignment="1">
      <alignment horizontal="left" vertical="center"/>
    </xf>
    <xf numFmtId="165" fontId="18" fillId="0" borderId="23" xfId="2" applyNumberFormat="1" applyFont="1" applyFill="1" applyBorder="1" applyAlignment="1">
      <alignment horizontal="left" vertical="center"/>
    </xf>
    <xf numFmtId="165" fontId="18" fillId="0" borderId="24" xfId="2" applyNumberFormat="1" applyFont="1" applyFill="1" applyBorder="1" applyAlignment="1">
      <alignment horizontal="left" vertical="center"/>
    </xf>
    <xf numFmtId="9" fontId="18" fillId="0" borderId="4" xfId="3" applyFont="1" applyFill="1" applyBorder="1" applyAlignment="1">
      <alignment horizontal="left" vertical="center"/>
    </xf>
    <xf numFmtId="9" fontId="18" fillId="0" borderId="23" xfId="3" applyFont="1" applyFill="1" applyBorder="1" applyAlignment="1">
      <alignment horizontal="left" vertical="center"/>
    </xf>
    <xf numFmtId="9" fontId="18" fillId="0" borderId="24" xfId="3" applyFont="1" applyFill="1" applyBorder="1" applyAlignment="1">
      <alignment horizontal="left" vertical="center"/>
    </xf>
    <xf numFmtId="0" fontId="14" fillId="0" borderId="0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left" vertical="top" wrapText="1"/>
    </xf>
    <xf numFmtId="0" fontId="9" fillId="3" borderId="5" xfId="0" applyFont="1" applyFill="1" applyBorder="1" applyAlignment="1">
      <alignment horizontal="left" vertical="top" wrapText="1"/>
    </xf>
    <xf numFmtId="0" fontId="9" fillId="3" borderId="3" xfId="0" applyFont="1" applyFill="1" applyBorder="1" applyAlignment="1">
      <alignment horizontal="left" vertical="top" wrapText="1"/>
    </xf>
    <xf numFmtId="0" fontId="0" fillId="0" borderId="0" xfId="0" applyAlignment="1"/>
  </cellXfs>
  <cellStyles count="4">
    <cellStyle name="Millares" xfId="2" builtinId="3"/>
    <cellStyle name="Millares 2" xfId="1" xr:uid="{00000000-0005-0000-0000-000001000000}"/>
    <cellStyle name="Normal" xfId="0" builtinId="0"/>
    <cellStyle name="Porcentaje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1089660</xdr:colOff>
      <xdr:row>0</xdr:row>
      <xdr:rowOff>556260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0" y="0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249555</xdr:colOff>
      <xdr:row>1</xdr:row>
      <xdr:rowOff>28575</xdr:rowOff>
    </xdr:from>
    <xdr:to>
      <xdr:col>0</xdr:col>
      <xdr:colOff>1339215</xdr:colOff>
      <xdr:row>1</xdr:row>
      <xdr:rowOff>584835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249555" y="28575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26"/>
  <sheetViews>
    <sheetView tabSelected="1" zoomScale="80" zoomScaleNormal="80" workbookViewId="0">
      <selection activeCell="T2" sqref="T2"/>
    </sheetView>
  </sheetViews>
  <sheetFormatPr baseColWidth="10" defaultRowHeight="12.75" x14ac:dyDescent="0.2"/>
  <cols>
    <col min="1" max="1" width="32.85546875" customWidth="1"/>
    <col min="2" max="2" width="18.42578125" customWidth="1"/>
    <col min="3" max="3" width="29.5703125" customWidth="1"/>
    <col min="4" max="4" width="21.140625" customWidth="1"/>
    <col min="5" max="10" width="16.7109375" customWidth="1"/>
    <col min="11" max="11" width="16.140625" customWidth="1"/>
  </cols>
  <sheetData>
    <row r="1" spans="1:20" ht="48" customHeight="1" x14ac:dyDescent="0.2">
      <c r="A1" s="64"/>
      <c r="B1" s="64"/>
      <c r="C1" s="64"/>
      <c r="D1" s="64"/>
      <c r="E1" s="64"/>
      <c r="F1" s="64"/>
      <c r="G1" s="64"/>
      <c r="H1" s="64"/>
      <c r="I1" s="64"/>
      <c r="J1" s="64"/>
      <c r="K1" s="64"/>
    </row>
    <row r="2" spans="1:20" ht="18" x14ac:dyDescent="0.25">
      <c r="A2" s="86" t="str">
        <f>valoración!A3</f>
        <v>PROPUESTA DE ADJUDICACIÓN DEL EXPEDIENTE S-03564-2025</v>
      </c>
      <c r="B2" s="86"/>
      <c r="C2" s="86"/>
      <c r="D2" s="86"/>
      <c r="E2" s="86"/>
      <c r="F2" s="86"/>
      <c r="G2" s="86"/>
      <c r="H2" s="86"/>
      <c r="I2" s="86"/>
      <c r="J2" s="86"/>
      <c r="K2" s="64"/>
      <c r="S2" s="98" t="s">
        <v>19</v>
      </c>
      <c r="T2">
        <v>90</v>
      </c>
    </row>
    <row r="3" spans="1:20" ht="18" x14ac:dyDescent="0.25">
      <c r="A3" s="86" t="str">
        <f>valoración!A4</f>
        <v>"Equipamiento SDI para las Continuidades"</v>
      </c>
      <c r="B3" s="86"/>
      <c r="C3" s="86"/>
      <c r="D3" s="86"/>
      <c r="E3" s="86"/>
      <c r="F3" s="86"/>
      <c r="G3" s="86"/>
      <c r="H3" s="86"/>
      <c r="I3" s="86"/>
      <c r="J3" s="86"/>
      <c r="K3" s="64"/>
    </row>
    <row r="4" spans="1:20" ht="18" x14ac:dyDescent="0.25">
      <c r="A4" s="86" t="str">
        <f>valoración!A5</f>
        <v>RESUMEN PUNTUACIÓN TÉCNICA Y ECONÓMICA</v>
      </c>
      <c r="B4" s="86"/>
      <c r="C4" s="86"/>
      <c r="D4" s="86"/>
      <c r="E4" s="86"/>
      <c r="F4" s="86"/>
      <c r="G4" s="86"/>
      <c r="H4" s="86"/>
      <c r="I4" s="86"/>
      <c r="J4" s="86"/>
      <c r="K4" s="64"/>
    </row>
    <row r="5" spans="1:20" x14ac:dyDescent="0.2">
      <c r="A5" s="64"/>
      <c r="B5" s="64"/>
      <c r="C5" s="64"/>
      <c r="D5" s="64"/>
      <c r="E5" s="64"/>
      <c r="F5" s="64"/>
      <c r="G5" s="64"/>
      <c r="H5" s="64"/>
      <c r="I5" s="64"/>
      <c r="J5" s="64"/>
      <c r="K5" s="64"/>
    </row>
    <row r="6" spans="1:20" ht="13.5" thickBot="1" x14ac:dyDescent="0.25">
      <c r="A6" s="64"/>
      <c r="B6" s="64"/>
      <c r="C6" s="64"/>
      <c r="D6" s="64"/>
      <c r="E6" s="64"/>
      <c r="F6" s="64"/>
      <c r="G6" s="64"/>
      <c r="H6" s="64"/>
      <c r="I6" s="64"/>
      <c r="J6" s="64"/>
      <c r="K6" s="64"/>
    </row>
    <row r="7" spans="1:20" ht="30.75" customHeight="1" thickBot="1" x14ac:dyDescent="0.25">
      <c r="A7" s="64"/>
      <c r="B7" s="64"/>
      <c r="C7" s="64"/>
      <c r="D7" s="64"/>
      <c r="E7" s="88" t="s">
        <v>15</v>
      </c>
      <c r="F7" s="89"/>
      <c r="G7" s="89"/>
      <c r="H7" s="89"/>
      <c r="I7" s="89"/>
      <c r="J7" s="90"/>
      <c r="K7" s="64"/>
    </row>
    <row r="8" spans="1:20" ht="60.75" thickBot="1" x14ac:dyDescent="0.25">
      <c r="A8" s="15" t="s">
        <v>4</v>
      </c>
      <c r="B8" s="16" t="s">
        <v>5</v>
      </c>
      <c r="C8" s="17" t="s">
        <v>6</v>
      </c>
      <c r="D8" s="18" t="s">
        <v>0</v>
      </c>
      <c r="E8" s="16" t="s">
        <v>18</v>
      </c>
      <c r="F8" s="17" t="s">
        <v>1</v>
      </c>
      <c r="G8" s="17" t="s">
        <v>8</v>
      </c>
      <c r="H8" s="17" t="s">
        <v>10</v>
      </c>
      <c r="I8" s="17" t="s">
        <v>11</v>
      </c>
      <c r="J8" s="18" t="s">
        <v>12</v>
      </c>
      <c r="K8" s="17" t="s">
        <v>20</v>
      </c>
    </row>
    <row r="9" spans="1:20" ht="35.1" customHeight="1" thickBot="1" x14ac:dyDescent="0.25">
      <c r="A9" s="95" t="s">
        <v>21</v>
      </c>
      <c r="B9" s="60" t="s">
        <v>27</v>
      </c>
      <c r="C9" s="20">
        <v>8000</v>
      </c>
      <c r="D9" s="21">
        <v>10</v>
      </c>
      <c r="E9" s="22">
        <v>6549.56</v>
      </c>
      <c r="F9" s="23">
        <f>$T$2*(MIN(E$9:E$12)/E9)</f>
        <v>20.186088836501995</v>
      </c>
      <c r="G9" s="23">
        <f>D9+F9</f>
        <v>30.186088836501995</v>
      </c>
      <c r="H9" s="46"/>
      <c r="I9" s="38">
        <f t="shared" ref="I9:I25" si="0">+$C9/$C$26*H9</f>
        <v>0</v>
      </c>
      <c r="J9" s="39">
        <f t="shared" ref="J9:J25" si="1">+G9*I9</f>
        <v>0</v>
      </c>
      <c r="K9" s="85">
        <f>100-($E9*100/$C9)</f>
        <v>18.130499999999998</v>
      </c>
    </row>
    <row r="10" spans="1:20" ht="35.1" customHeight="1" thickBot="1" x14ac:dyDescent="0.25">
      <c r="A10" s="96"/>
      <c r="B10" s="61" t="s">
        <v>28</v>
      </c>
      <c r="C10" s="20">
        <v>8000</v>
      </c>
      <c r="D10" s="21">
        <v>10</v>
      </c>
      <c r="E10" s="24">
        <v>1469</v>
      </c>
      <c r="F10" s="23">
        <f>$T$2*(MIN(E$9:E$12)/E10)</f>
        <v>90</v>
      </c>
      <c r="G10" s="25">
        <f>D10+F10</f>
        <v>100</v>
      </c>
      <c r="H10" s="47">
        <v>1</v>
      </c>
      <c r="I10" s="40">
        <f>+$C10/$C$26*H10</f>
        <v>0.24242424242424243</v>
      </c>
      <c r="J10" s="41">
        <f t="shared" si="1"/>
        <v>24.242424242424242</v>
      </c>
      <c r="K10" s="71">
        <f t="shared" ref="K10:K25" si="2">100-($E10*100/$C10)</f>
        <v>81.637500000000003</v>
      </c>
    </row>
    <row r="11" spans="1:20" ht="45" customHeight="1" thickBot="1" x14ac:dyDescent="0.25">
      <c r="A11" s="96"/>
      <c r="B11" s="62" t="s">
        <v>29</v>
      </c>
      <c r="C11" s="20">
        <v>8000</v>
      </c>
      <c r="D11" s="21">
        <v>10</v>
      </c>
      <c r="E11" s="34">
        <v>7390</v>
      </c>
      <c r="F11" s="23">
        <f>$T$2*(MIN(E$9:E$12)/E11)</f>
        <v>17.89039242219215</v>
      </c>
      <c r="G11" s="35">
        <f>D11+F11</f>
        <v>27.89039242219215</v>
      </c>
      <c r="H11" s="47"/>
      <c r="I11" s="40">
        <f t="shared" si="0"/>
        <v>0</v>
      </c>
      <c r="J11" s="41">
        <f>+G11*I11</f>
        <v>0</v>
      </c>
      <c r="K11" s="85">
        <f t="shared" si="2"/>
        <v>7.625</v>
      </c>
    </row>
    <row r="12" spans="1:20" ht="48" customHeight="1" thickBot="1" x14ac:dyDescent="0.25">
      <c r="A12" s="97"/>
      <c r="B12" s="63" t="s">
        <v>30</v>
      </c>
      <c r="C12" s="20">
        <v>8000</v>
      </c>
      <c r="D12" s="21">
        <v>10</v>
      </c>
      <c r="E12" s="83">
        <v>7424.4</v>
      </c>
      <c r="F12" s="23">
        <f>$T$2*(MIN(E$9:E$12)/E12)</f>
        <v>17.807499595926945</v>
      </c>
      <c r="G12" s="35">
        <f>D12+F12</f>
        <v>27.807499595926945</v>
      </c>
      <c r="H12" s="54"/>
      <c r="I12" s="42">
        <f t="shared" si="0"/>
        <v>0</v>
      </c>
      <c r="J12" s="43">
        <f>+G12*I12</f>
        <v>0</v>
      </c>
      <c r="K12" s="85">
        <f t="shared" si="2"/>
        <v>7.1949999999999932</v>
      </c>
    </row>
    <row r="13" spans="1:20" ht="35.1" customHeight="1" thickBot="1" x14ac:dyDescent="0.25">
      <c r="A13" s="95" t="s">
        <v>22</v>
      </c>
      <c r="B13" s="60" t="s">
        <v>31</v>
      </c>
      <c r="C13" s="20">
        <v>9000</v>
      </c>
      <c r="D13" s="21">
        <v>10</v>
      </c>
      <c r="E13" s="80">
        <v>7175</v>
      </c>
      <c r="F13" s="23">
        <f>$T$2*(MIN(E$13:E$15)/E13)</f>
        <v>90</v>
      </c>
      <c r="G13" s="57">
        <f t="shared" ref="G13:G25" si="3">D13+F13</f>
        <v>100</v>
      </c>
      <c r="H13" s="46">
        <v>1</v>
      </c>
      <c r="I13" s="38">
        <f t="shared" si="0"/>
        <v>0.27272727272727271</v>
      </c>
      <c r="J13" s="39">
        <f t="shared" si="1"/>
        <v>27.27272727272727</v>
      </c>
      <c r="K13" s="71">
        <f t="shared" si="2"/>
        <v>20.277777777777771</v>
      </c>
    </row>
    <row r="14" spans="1:20" ht="35.1" customHeight="1" thickBot="1" x14ac:dyDescent="0.25">
      <c r="A14" s="96"/>
      <c r="B14" s="61" t="s">
        <v>27</v>
      </c>
      <c r="C14" s="20">
        <v>9000</v>
      </c>
      <c r="D14" s="29">
        <v>6</v>
      </c>
      <c r="E14" s="30">
        <v>8612</v>
      </c>
      <c r="F14" s="23">
        <f>$T$2*(MIN(E$13:E$15)/E14)</f>
        <v>74.982582443102643</v>
      </c>
      <c r="G14" s="31">
        <f t="shared" si="3"/>
        <v>80.982582443102643</v>
      </c>
      <c r="H14" s="47"/>
      <c r="I14" s="40">
        <f t="shared" si="0"/>
        <v>0</v>
      </c>
      <c r="J14" s="41">
        <f t="shared" si="1"/>
        <v>0</v>
      </c>
      <c r="K14" s="85">
        <f t="shared" si="2"/>
        <v>4.3111111111111171</v>
      </c>
    </row>
    <row r="15" spans="1:20" ht="35.1" customHeight="1" thickBot="1" x14ac:dyDescent="0.25">
      <c r="A15" s="97"/>
      <c r="B15" s="63" t="s">
        <v>30</v>
      </c>
      <c r="C15" s="20">
        <v>9000</v>
      </c>
      <c r="D15" s="26">
        <v>6</v>
      </c>
      <c r="E15" s="76">
        <v>8231</v>
      </c>
      <c r="F15" s="23">
        <f>$T$2*(MIN(E$13:E$15)/E15)</f>
        <v>78.453407848378077</v>
      </c>
      <c r="G15" s="70">
        <f t="shared" si="3"/>
        <v>84.453407848378077</v>
      </c>
      <c r="H15" s="54"/>
      <c r="I15" s="42">
        <f t="shared" si="0"/>
        <v>0</v>
      </c>
      <c r="J15" s="43">
        <f t="shared" si="1"/>
        <v>0</v>
      </c>
      <c r="K15" s="85">
        <f t="shared" si="2"/>
        <v>8.5444444444444514</v>
      </c>
    </row>
    <row r="16" spans="1:20" ht="35.1" customHeight="1" thickBot="1" x14ac:dyDescent="0.25">
      <c r="A16" s="95" t="s">
        <v>23</v>
      </c>
      <c r="B16" s="60" t="s">
        <v>27</v>
      </c>
      <c r="C16" s="20">
        <v>4000</v>
      </c>
      <c r="D16" s="21">
        <v>10</v>
      </c>
      <c r="E16" s="22">
        <v>2656.72</v>
      </c>
      <c r="F16" s="23">
        <f>$T$2*(MIN(E$16:E$19)/E16)</f>
        <v>81.913035622873323</v>
      </c>
      <c r="G16" s="58">
        <f t="shared" si="3"/>
        <v>91.913035622873323</v>
      </c>
      <c r="H16" s="46"/>
      <c r="I16" s="38">
        <f t="shared" si="0"/>
        <v>0</v>
      </c>
      <c r="J16" s="39">
        <f t="shared" si="1"/>
        <v>0</v>
      </c>
      <c r="K16" s="85">
        <f t="shared" si="2"/>
        <v>33.581999999999994</v>
      </c>
    </row>
    <row r="17" spans="1:11" ht="35.1" customHeight="1" thickBot="1" x14ac:dyDescent="0.25">
      <c r="A17" s="96"/>
      <c r="B17" s="61" t="s">
        <v>28</v>
      </c>
      <c r="C17" s="20">
        <v>4000</v>
      </c>
      <c r="D17" s="29">
        <v>10</v>
      </c>
      <c r="E17" s="24">
        <v>2418</v>
      </c>
      <c r="F17" s="23">
        <f>$T$2*(MIN(E$16:E$19)/E17)</f>
        <v>90</v>
      </c>
      <c r="G17" s="78">
        <f t="shared" si="3"/>
        <v>100</v>
      </c>
      <c r="H17" s="47">
        <v>1</v>
      </c>
      <c r="I17" s="40">
        <f t="shared" si="0"/>
        <v>0.12121212121212122</v>
      </c>
      <c r="J17" s="41">
        <f t="shared" si="1"/>
        <v>12.121212121212121</v>
      </c>
      <c r="K17" s="71">
        <f t="shared" si="2"/>
        <v>39.549999999999997</v>
      </c>
    </row>
    <row r="18" spans="1:11" ht="60.75" thickBot="1" x14ac:dyDescent="0.25">
      <c r="A18" s="96"/>
      <c r="B18" s="62" t="s">
        <v>29</v>
      </c>
      <c r="C18" s="20">
        <v>4000</v>
      </c>
      <c r="D18" s="33">
        <v>10</v>
      </c>
      <c r="E18" s="77">
        <v>2460</v>
      </c>
      <c r="F18" s="23">
        <f>$T$2*(MIN(E$16:E$19)/E18)</f>
        <v>88.463414634146346</v>
      </c>
      <c r="G18" s="79">
        <f t="shared" si="3"/>
        <v>98.463414634146346</v>
      </c>
      <c r="H18" s="72"/>
      <c r="I18" s="73"/>
      <c r="J18" s="74"/>
      <c r="K18" s="85">
        <f>100-($E18*100/$C18)</f>
        <v>38.5</v>
      </c>
    </row>
    <row r="19" spans="1:11" ht="45.75" thickBot="1" x14ac:dyDescent="0.25">
      <c r="A19" s="97"/>
      <c r="B19" s="63" t="s">
        <v>30</v>
      </c>
      <c r="C19" s="20">
        <v>4000</v>
      </c>
      <c r="D19" s="26">
        <v>10</v>
      </c>
      <c r="E19" s="27">
        <v>2582.1999999999998</v>
      </c>
      <c r="F19" s="23">
        <f>$T$2*(MIN(E$16:E$19)/E19)</f>
        <v>84.276973123692983</v>
      </c>
      <c r="G19" s="59">
        <f t="shared" si="3"/>
        <v>94.276973123692983</v>
      </c>
      <c r="H19" s="54"/>
      <c r="I19" s="42">
        <f t="shared" si="0"/>
        <v>0</v>
      </c>
      <c r="J19" s="43">
        <f t="shared" si="1"/>
        <v>0</v>
      </c>
      <c r="K19" s="85">
        <f t="shared" si="2"/>
        <v>35.445000000000007</v>
      </c>
    </row>
    <row r="20" spans="1:11" ht="30.75" thickBot="1" x14ac:dyDescent="0.25">
      <c r="A20" s="95" t="s">
        <v>24</v>
      </c>
      <c r="B20" s="60" t="s">
        <v>27</v>
      </c>
      <c r="C20" s="20">
        <v>2000</v>
      </c>
      <c r="D20" s="21">
        <v>10</v>
      </c>
      <c r="E20" s="22">
        <v>1392.33</v>
      </c>
      <c r="F20" s="23">
        <f>$T$2*(MIN(E$20:E$22)/E20)</f>
        <v>55.267070306608353</v>
      </c>
      <c r="G20" s="59">
        <f t="shared" si="3"/>
        <v>65.26707030660836</v>
      </c>
      <c r="H20" s="46"/>
      <c r="I20" s="38">
        <f t="shared" si="0"/>
        <v>0</v>
      </c>
      <c r="J20" s="39">
        <f t="shared" si="1"/>
        <v>0</v>
      </c>
      <c r="K20" s="85">
        <f t="shared" si="2"/>
        <v>30.383499999999998</v>
      </c>
    </row>
    <row r="21" spans="1:11" ht="60.75" thickBot="1" x14ac:dyDescent="0.25">
      <c r="A21" s="96"/>
      <c r="B21" s="61" t="s">
        <v>29</v>
      </c>
      <c r="C21" s="20">
        <v>2000</v>
      </c>
      <c r="D21" s="29">
        <v>10</v>
      </c>
      <c r="E21" s="24">
        <v>855</v>
      </c>
      <c r="F21" s="23">
        <f>$T$2*(MIN(E$20:E$22)/E21)</f>
        <v>90</v>
      </c>
      <c r="G21" s="57">
        <f t="shared" si="3"/>
        <v>100</v>
      </c>
      <c r="H21" s="47">
        <v>1</v>
      </c>
      <c r="I21" s="40">
        <f t="shared" si="0"/>
        <v>6.0606060606060608E-2</v>
      </c>
      <c r="J21" s="41">
        <f t="shared" si="1"/>
        <v>6.0606060606060606</v>
      </c>
      <c r="K21" s="71">
        <f t="shared" si="2"/>
        <v>57.25</v>
      </c>
    </row>
    <row r="22" spans="1:11" ht="45.75" thickBot="1" x14ac:dyDescent="0.25">
      <c r="A22" s="97"/>
      <c r="B22" s="63" t="s">
        <v>30</v>
      </c>
      <c r="C22" s="20">
        <v>2000</v>
      </c>
      <c r="D22" s="26">
        <v>10</v>
      </c>
      <c r="E22" s="76">
        <v>1081</v>
      </c>
      <c r="F22" s="23">
        <f>$T$2*(MIN(E$20:E$22)/E22)</f>
        <v>71.184088806660498</v>
      </c>
      <c r="G22" s="70">
        <f t="shared" si="3"/>
        <v>81.184088806660498</v>
      </c>
      <c r="H22" s="54"/>
      <c r="I22" s="42">
        <f t="shared" si="0"/>
        <v>0</v>
      </c>
      <c r="J22" s="43">
        <f t="shared" si="1"/>
        <v>0</v>
      </c>
      <c r="K22" s="85">
        <f t="shared" si="2"/>
        <v>45.95</v>
      </c>
    </row>
    <row r="23" spans="1:11" ht="45.75" thickBot="1" x14ac:dyDescent="0.25">
      <c r="A23" s="19" t="s">
        <v>25</v>
      </c>
      <c r="B23" s="60" t="s">
        <v>32</v>
      </c>
      <c r="C23" s="20">
        <v>2000</v>
      </c>
      <c r="D23" s="21">
        <v>10</v>
      </c>
      <c r="E23" s="80">
        <v>1765.96</v>
      </c>
      <c r="F23" s="23">
        <f>$T$2*(MIN(E$23:E$23)/E23)</f>
        <v>90</v>
      </c>
      <c r="G23" s="57">
        <f t="shared" si="3"/>
        <v>100</v>
      </c>
      <c r="H23" s="46">
        <v>1</v>
      </c>
      <c r="I23" s="38">
        <f t="shared" si="0"/>
        <v>6.0606060606060608E-2</v>
      </c>
      <c r="J23" s="39">
        <f t="shared" si="1"/>
        <v>6.0606060606060606</v>
      </c>
      <c r="K23" s="71">
        <f t="shared" si="2"/>
        <v>11.701999999999998</v>
      </c>
    </row>
    <row r="24" spans="1:11" ht="60.75" thickBot="1" x14ac:dyDescent="0.25">
      <c r="A24" s="95" t="s">
        <v>26</v>
      </c>
      <c r="B24" s="60" t="s">
        <v>31</v>
      </c>
      <c r="C24" s="20">
        <v>8000</v>
      </c>
      <c r="D24" s="21">
        <v>10</v>
      </c>
      <c r="E24" s="22">
        <v>5072</v>
      </c>
      <c r="F24" s="23">
        <f>$T$2*(MIN(E$24:E$25)/E24)</f>
        <v>85.084779179810724</v>
      </c>
      <c r="G24" s="23">
        <f t="shared" si="3"/>
        <v>95.084779179810724</v>
      </c>
      <c r="H24" s="46"/>
      <c r="I24" s="38">
        <f t="shared" si="0"/>
        <v>0</v>
      </c>
      <c r="J24" s="39">
        <f t="shared" si="1"/>
        <v>0</v>
      </c>
      <c r="K24" s="85">
        <f t="shared" si="2"/>
        <v>36.6</v>
      </c>
    </row>
    <row r="25" spans="1:11" ht="45.75" thickBot="1" x14ac:dyDescent="0.25">
      <c r="A25" s="97"/>
      <c r="B25" s="61" t="s">
        <v>33</v>
      </c>
      <c r="C25" s="28">
        <v>8000</v>
      </c>
      <c r="D25" s="29">
        <v>10</v>
      </c>
      <c r="E25" s="24">
        <v>4795</v>
      </c>
      <c r="F25" s="23">
        <f>$T$2*(MIN(E$24:E$25)/E25)</f>
        <v>90</v>
      </c>
      <c r="G25" s="25">
        <f t="shared" si="3"/>
        <v>100</v>
      </c>
      <c r="H25" s="47">
        <v>1</v>
      </c>
      <c r="I25" s="40">
        <f t="shared" si="0"/>
        <v>0.24242424242424243</v>
      </c>
      <c r="J25" s="41">
        <f t="shared" si="1"/>
        <v>24.242424242424242</v>
      </c>
      <c r="K25" s="71">
        <f t="shared" si="2"/>
        <v>40.0625</v>
      </c>
    </row>
    <row r="26" spans="1:11" ht="45.75" thickBot="1" x14ac:dyDescent="0.25">
      <c r="A26" s="9"/>
      <c r="B26" s="44" t="s">
        <v>13</v>
      </c>
      <c r="C26" s="45">
        <f>C9+C13+C16+C20+C23+C24</f>
        <v>33000</v>
      </c>
      <c r="E26" s="10"/>
      <c r="F26" s="10"/>
      <c r="G26" s="10"/>
      <c r="H26" s="10"/>
      <c r="I26" s="55" t="s">
        <v>14</v>
      </c>
      <c r="J26" s="56">
        <f>SUM(J9:J25)</f>
        <v>100</v>
      </c>
    </row>
  </sheetData>
  <mergeCells count="9">
    <mergeCell ref="A13:A15"/>
    <mergeCell ref="A16:A19"/>
    <mergeCell ref="A20:A22"/>
    <mergeCell ref="A24:A25"/>
    <mergeCell ref="A2:J2"/>
    <mergeCell ref="A3:J3"/>
    <mergeCell ref="A4:J4"/>
    <mergeCell ref="A9:A12"/>
    <mergeCell ref="E7:J7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T32"/>
  <sheetViews>
    <sheetView showGridLines="0" showZeros="0" zoomScale="60" zoomScaleNormal="60" workbookViewId="0">
      <selection activeCell="S2" sqref="S2"/>
    </sheetView>
  </sheetViews>
  <sheetFormatPr baseColWidth="10" defaultRowHeight="15" x14ac:dyDescent="0.2"/>
  <cols>
    <col min="1" max="1" width="30.42578125" style="9" customWidth="1"/>
    <col min="2" max="2" width="30.28515625" style="10" customWidth="1"/>
    <col min="3" max="3" width="25.140625" style="10" customWidth="1"/>
    <col min="4" max="4" width="17" style="10" customWidth="1"/>
    <col min="5" max="17" width="16.7109375" style="10" customWidth="1"/>
    <col min="18" max="16384" width="11.42578125" style="10"/>
  </cols>
  <sheetData>
    <row r="1" spans="1:20" x14ac:dyDescent="0.2">
      <c r="S1" s="12" t="s">
        <v>7</v>
      </c>
    </row>
    <row r="2" spans="1:20" s="3" customFormat="1" ht="48" customHeight="1" x14ac:dyDescent="0.15">
      <c r="A2" s="2"/>
      <c r="D2" s="4"/>
      <c r="E2" s="4"/>
      <c r="F2" s="4"/>
      <c r="G2" s="4"/>
      <c r="H2" s="5"/>
      <c r="M2" s="11"/>
      <c r="S2" s="13" t="s">
        <v>19</v>
      </c>
      <c r="T2" s="14">
        <v>90</v>
      </c>
    </row>
    <row r="3" spans="1:20" s="3" customFormat="1" ht="22.5" customHeight="1" x14ac:dyDescent="0.15">
      <c r="A3" s="94" t="s">
        <v>34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94"/>
      <c r="Q3" s="94"/>
      <c r="S3" s="36" t="s">
        <v>9</v>
      </c>
    </row>
    <row r="4" spans="1:20" s="3" customFormat="1" ht="22.5" customHeight="1" x14ac:dyDescent="0.15">
      <c r="A4" s="94" t="s">
        <v>35</v>
      </c>
      <c r="B4" s="94"/>
      <c r="C4" s="94"/>
      <c r="D4" s="94"/>
      <c r="E4" s="94"/>
      <c r="F4" s="94"/>
      <c r="G4" s="94"/>
      <c r="H4" s="94"/>
      <c r="I4" s="94"/>
      <c r="J4" s="94"/>
      <c r="K4" s="94"/>
      <c r="L4" s="94"/>
      <c r="M4" s="94"/>
      <c r="N4" s="94"/>
      <c r="O4" s="94"/>
      <c r="P4" s="94"/>
      <c r="Q4" s="94"/>
    </row>
    <row r="5" spans="1:20" s="3" customFormat="1" ht="24.6" customHeight="1" x14ac:dyDescent="0.15">
      <c r="A5" s="94" t="s">
        <v>3</v>
      </c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</row>
    <row r="6" spans="1:20" s="3" customFormat="1" ht="24.6" customHeight="1" thickBot="1" x14ac:dyDescent="0.2">
      <c r="A6" s="32"/>
      <c r="B6" s="32"/>
      <c r="C6" s="32"/>
      <c r="D6" s="32"/>
      <c r="E6" s="32"/>
      <c r="F6" s="32"/>
      <c r="G6" s="32"/>
      <c r="H6" s="4"/>
    </row>
    <row r="7" spans="1:20" s="3" customFormat="1" ht="24.75" customHeight="1" thickBot="1" x14ac:dyDescent="0.3">
      <c r="A7" s="2"/>
      <c r="B7" s="6"/>
      <c r="C7" s="7"/>
      <c r="D7" s="7"/>
      <c r="E7" s="88" t="s">
        <v>15</v>
      </c>
      <c r="F7" s="89"/>
      <c r="G7" s="89"/>
      <c r="H7" s="89"/>
      <c r="I7" s="89"/>
      <c r="J7" s="90"/>
      <c r="K7" s="91" t="s">
        <v>36</v>
      </c>
      <c r="L7" s="92"/>
      <c r="M7" s="92"/>
      <c r="N7" s="92"/>
      <c r="O7" s="92"/>
      <c r="P7" s="92"/>
      <c r="Q7" s="93"/>
    </row>
    <row r="8" spans="1:20" s="8" customFormat="1" ht="60.75" thickBot="1" x14ac:dyDescent="0.25">
      <c r="A8" s="15" t="s">
        <v>4</v>
      </c>
      <c r="B8" s="16" t="s">
        <v>5</v>
      </c>
      <c r="C8" s="17" t="s">
        <v>6</v>
      </c>
      <c r="D8" s="18" t="s">
        <v>0</v>
      </c>
      <c r="E8" s="16" t="s">
        <v>18</v>
      </c>
      <c r="F8" s="17" t="s">
        <v>1</v>
      </c>
      <c r="G8" s="17" t="s">
        <v>8</v>
      </c>
      <c r="H8" s="17" t="s">
        <v>10</v>
      </c>
      <c r="I8" s="17" t="s">
        <v>11</v>
      </c>
      <c r="J8" s="18" t="s">
        <v>12</v>
      </c>
      <c r="K8" s="16" t="s">
        <v>16</v>
      </c>
      <c r="L8" s="16" t="s">
        <v>18</v>
      </c>
      <c r="M8" s="17" t="s">
        <v>1</v>
      </c>
      <c r="N8" s="17" t="s">
        <v>17</v>
      </c>
      <c r="O8" s="17" t="s">
        <v>10</v>
      </c>
      <c r="P8" s="17" t="s">
        <v>11</v>
      </c>
      <c r="Q8" s="18" t="s">
        <v>12</v>
      </c>
    </row>
    <row r="9" spans="1:20" s="3" customFormat="1" ht="35.1" customHeight="1" thickBot="1" x14ac:dyDescent="0.2">
      <c r="A9" s="95" t="s">
        <v>21</v>
      </c>
      <c r="B9" s="60" t="s">
        <v>27</v>
      </c>
      <c r="C9" s="20">
        <v>8000</v>
      </c>
      <c r="D9" s="21">
        <v>10</v>
      </c>
      <c r="E9" s="22">
        <v>6549.56</v>
      </c>
      <c r="F9" s="23">
        <f>$T$2*(MIN(E$9:E$12)/E9)</f>
        <v>20.186088836501995</v>
      </c>
      <c r="G9" s="23">
        <f>D9+F9</f>
        <v>30.186088836501995</v>
      </c>
      <c r="H9" s="46"/>
      <c r="I9" s="38">
        <f t="shared" ref="I9:I19" si="0">+$C9/$C$26*H9</f>
        <v>0</v>
      </c>
      <c r="J9" s="39">
        <f t="shared" ref="J9:J19" si="1">+G9*I9</f>
        <v>0</v>
      </c>
      <c r="K9" s="52">
        <v>0.03</v>
      </c>
      <c r="L9" s="65">
        <f>+$E9*(1-K9)</f>
        <v>6353.0731999999998</v>
      </c>
      <c r="M9" s="66">
        <f>$T$2*(MIN(L$9:L$12)/L9)</f>
        <v>20.810400862373189</v>
      </c>
      <c r="N9" s="66">
        <f>$D9+M9</f>
        <v>30.810400862373189</v>
      </c>
      <c r="O9" s="37">
        <v>1</v>
      </c>
      <c r="P9" s="38">
        <f t="shared" ref="P9:P19" si="2">+$C9/$C$26*O9</f>
        <v>0.24242424242424243</v>
      </c>
      <c r="Q9" s="39">
        <f>+N9*P9</f>
        <v>7.4691880878480461</v>
      </c>
    </row>
    <row r="10" spans="1:20" s="3" customFormat="1" ht="35.1" customHeight="1" thickBot="1" x14ac:dyDescent="0.2">
      <c r="A10" s="96"/>
      <c r="B10" s="61" t="s">
        <v>28</v>
      </c>
      <c r="C10" s="20">
        <v>8000</v>
      </c>
      <c r="D10" s="21">
        <v>10</v>
      </c>
      <c r="E10" s="24">
        <v>1469</v>
      </c>
      <c r="F10" s="23">
        <f>$T$2*(MIN(E$9:E$12)/E10)</f>
        <v>90</v>
      </c>
      <c r="G10" s="25">
        <f>D10+F10</f>
        <v>100</v>
      </c>
      <c r="H10" s="47">
        <v>1</v>
      </c>
      <c r="I10" s="40">
        <f>+$C10/$C$26*H10</f>
        <v>0.24242424242424243</v>
      </c>
      <c r="J10" s="41">
        <f t="shared" si="1"/>
        <v>24.242424242424242</v>
      </c>
      <c r="K10" s="53"/>
      <c r="L10" s="67">
        <f>+$E10*(1-K10)</f>
        <v>1469</v>
      </c>
      <c r="M10" s="66">
        <f>$T$2*(MIN(L$9:L$12)/L10)</f>
        <v>90</v>
      </c>
      <c r="N10" s="68">
        <f>$D10+M10</f>
        <v>100</v>
      </c>
      <c r="O10" s="68"/>
      <c r="P10" s="40">
        <f t="shared" si="2"/>
        <v>0</v>
      </c>
      <c r="Q10" s="41">
        <f t="shared" ref="Q10:Q19" si="3">+N10*P10</f>
        <v>0</v>
      </c>
    </row>
    <row r="11" spans="1:20" s="3" customFormat="1" ht="48" customHeight="1" thickBot="1" x14ac:dyDescent="0.2">
      <c r="A11" s="96"/>
      <c r="B11" s="62" t="s">
        <v>29</v>
      </c>
      <c r="C11" s="20">
        <v>8000</v>
      </c>
      <c r="D11" s="21">
        <v>10</v>
      </c>
      <c r="E11" s="34">
        <v>7390</v>
      </c>
      <c r="F11" s="23">
        <f>$T$2*(MIN(E$9:E$12)/E11)</f>
        <v>17.89039242219215</v>
      </c>
      <c r="G11" s="35">
        <f>D11+F11</f>
        <v>27.89039242219215</v>
      </c>
      <c r="H11" s="47"/>
      <c r="I11" s="40">
        <f t="shared" si="0"/>
        <v>0</v>
      </c>
      <c r="J11" s="41">
        <f>+G11*I11</f>
        <v>0</v>
      </c>
      <c r="K11" s="53"/>
      <c r="L11" s="67">
        <f>+$E11*(1-K11)</f>
        <v>7390</v>
      </c>
      <c r="M11" s="66">
        <f>$T$2*(MIN(L$9:L$12)/L11)</f>
        <v>17.89039242219215</v>
      </c>
      <c r="N11" s="68">
        <f>$D11+M11</f>
        <v>27.89039242219215</v>
      </c>
      <c r="O11" s="48"/>
      <c r="P11" s="40">
        <f t="shared" si="2"/>
        <v>0</v>
      </c>
      <c r="Q11" s="41">
        <f t="shared" si="3"/>
        <v>0</v>
      </c>
    </row>
    <row r="12" spans="1:20" s="3" customFormat="1" ht="35.1" customHeight="1" thickBot="1" x14ac:dyDescent="0.2">
      <c r="A12" s="97"/>
      <c r="B12" s="63" t="s">
        <v>30</v>
      </c>
      <c r="C12" s="20">
        <v>8000</v>
      </c>
      <c r="D12" s="21">
        <v>10</v>
      </c>
      <c r="E12" s="83">
        <v>7424.4</v>
      </c>
      <c r="F12" s="23">
        <f>$T$2*(MIN(E$9:E$12)/E12)</f>
        <v>17.807499595926945</v>
      </c>
      <c r="G12" s="35">
        <f>D12+F12</f>
        <v>27.807499595926945</v>
      </c>
      <c r="H12" s="54"/>
      <c r="I12" s="42">
        <f t="shared" si="0"/>
        <v>0</v>
      </c>
      <c r="J12" s="43">
        <f>+G12*I12</f>
        <v>0</v>
      </c>
      <c r="K12" s="51"/>
      <c r="L12" s="67">
        <f>+$E12*(1-K12)</f>
        <v>7424.4</v>
      </c>
      <c r="M12" s="66">
        <f>$T$2*(MIN(L$9:L$12)/L12)</f>
        <v>17.807499595926945</v>
      </c>
      <c r="N12" s="68">
        <f>$D12+M12</f>
        <v>27.807499595926945</v>
      </c>
      <c r="O12" s="49"/>
      <c r="P12" s="42">
        <f t="shared" si="2"/>
        <v>0</v>
      </c>
      <c r="Q12" s="43">
        <f t="shared" si="3"/>
        <v>0</v>
      </c>
    </row>
    <row r="13" spans="1:20" s="3" customFormat="1" ht="44.25" customHeight="1" thickBot="1" x14ac:dyDescent="0.2">
      <c r="A13" s="95" t="s">
        <v>22</v>
      </c>
      <c r="B13" s="60" t="s">
        <v>31</v>
      </c>
      <c r="C13" s="20">
        <v>9000</v>
      </c>
      <c r="D13" s="21">
        <v>10</v>
      </c>
      <c r="E13" s="80">
        <v>7175</v>
      </c>
      <c r="F13" s="23">
        <f>$T$2*(MIN(E$13:E$15)/E13)</f>
        <v>90</v>
      </c>
      <c r="G13" s="57">
        <f t="shared" ref="G13:G19" si="4">D13+F13</f>
        <v>100</v>
      </c>
      <c r="H13" s="46">
        <v>1</v>
      </c>
      <c r="I13" s="38">
        <f t="shared" si="0"/>
        <v>0.27272727272727271</v>
      </c>
      <c r="J13" s="39">
        <f t="shared" si="1"/>
        <v>27.27272727272727</v>
      </c>
      <c r="K13" s="52"/>
      <c r="L13" s="65">
        <f t="shared" ref="L13:L19" si="5">+$E13*(1-K13)</f>
        <v>7175</v>
      </c>
      <c r="M13" s="66">
        <f>$T$2*(MIN(L$13:L$15)/L13)</f>
        <v>90</v>
      </c>
      <c r="N13" s="66">
        <f t="shared" ref="N13:N19" si="6">$D13+M13</f>
        <v>100</v>
      </c>
      <c r="O13" s="50"/>
      <c r="P13" s="38">
        <f t="shared" si="2"/>
        <v>0</v>
      </c>
      <c r="Q13" s="39">
        <f t="shared" si="3"/>
        <v>0</v>
      </c>
    </row>
    <row r="14" spans="1:20" s="3" customFormat="1" ht="35.1" customHeight="1" thickBot="1" x14ac:dyDescent="0.2">
      <c r="A14" s="96"/>
      <c r="B14" s="61" t="s">
        <v>27</v>
      </c>
      <c r="C14" s="20">
        <v>9000</v>
      </c>
      <c r="D14" s="29">
        <v>6</v>
      </c>
      <c r="E14" s="30">
        <v>8612</v>
      </c>
      <c r="F14" s="23">
        <f>$T$2*(MIN(E$13:E$15)/E14)</f>
        <v>74.982582443102643</v>
      </c>
      <c r="G14" s="31">
        <f t="shared" si="4"/>
        <v>80.982582443102643</v>
      </c>
      <c r="H14" s="47"/>
      <c r="I14" s="40">
        <f t="shared" si="0"/>
        <v>0</v>
      </c>
      <c r="J14" s="41">
        <f t="shared" si="1"/>
        <v>0</v>
      </c>
      <c r="K14" s="53">
        <v>0.03</v>
      </c>
      <c r="L14" s="67">
        <f t="shared" si="5"/>
        <v>8353.64</v>
      </c>
      <c r="M14" s="66">
        <f>$T$2*(MIN(L$13:L$15)/L14)</f>
        <v>77.301631384641908</v>
      </c>
      <c r="N14" s="68">
        <f t="shared" si="6"/>
        <v>83.301631384641908</v>
      </c>
      <c r="O14" s="84">
        <v>1</v>
      </c>
      <c r="P14" s="40">
        <f t="shared" si="2"/>
        <v>0.27272727272727271</v>
      </c>
      <c r="Q14" s="41">
        <f t="shared" si="3"/>
        <v>22.718626741265972</v>
      </c>
    </row>
    <row r="15" spans="1:20" s="3" customFormat="1" ht="35.1" customHeight="1" thickBot="1" x14ac:dyDescent="0.2">
      <c r="A15" s="97"/>
      <c r="B15" s="63" t="s">
        <v>30</v>
      </c>
      <c r="C15" s="20">
        <v>9000</v>
      </c>
      <c r="D15" s="26">
        <v>6</v>
      </c>
      <c r="E15" s="76">
        <v>8231</v>
      </c>
      <c r="F15" s="23">
        <f>$T$2*(MIN(E$13:E$15)/E15)</f>
        <v>78.453407848378077</v>
      </c>
      <c r="G15" s="70">
        <f t="shared" si="4"/>
        <v>84.453407848378077</v>
      </c>
      <c r="H15" s="54"/>
      <c r="I15" s="42">
        <f t="shared" si="0"/>
        <v>0</v>
      </c>
      <c r="J15" s="43">
        <f t="shared" si="1"/>
        <v>0</v>
      </c>
      <c r="K15" s="51"/>
      <c r="L15" s="69">
        <f t="shared" si="5"/>
        <v>8231</v>
      </c>
      <c r="M15" s="66">
        <f>$T$2*(MIN(L$13:L$15)/L15)</f>
        <v>78.453407848378077</v>
      </c>
      <c r="N15" s="70">
        <f t="shared" si="6"/>
        <v>84.453407848378077</v>
      </c>
      <c r="O15" s="84"/>
      <c r="P15" s="42">
        <f t="shared" si="2"/>
        <v>0</v>
      </c>
      <c r="Q15" s="43">
        <f t="shared" si="3"/>
        <v>0</v>
      </c>
    </row>
    <row r="16" spans="1:20" s="3" customFormat="1" ht="35.1" customHeight="1" thickBot="1" x14ac:dyDescent="0.2">
      <c r="A16" s="95" t="s">
        <v>23</v>
      </c>
      <c r="B16" s="60" t="s">
        <v>27</v>
      </c>
      <c r="C16" s="20">
        <v>4000</v>
      </c>
      <c r="D16" s="21">
        <v>10</v>
      </c>
      <c r="E16" s="22">
        <v>2656.72</v>
      </c>
      <c r="F16" s="23">
        <f>$T$2*(MIN(E$16:E$19)/E16)</f>
        <v>81.913035622873323</v>
      </c>
      <c r="G16" s="58">
        <f t="shared" si="4"/>
        <v>91.913035622873323</v>
      </c>
      <c r="H16" s="46"/>
      <c r="I16" s="38">
        <f t="shared" si="0"/>
        <v>0</v>
      </c>
      <c r="J16" s="39">
        <f t="shared" si="1"/>
        <v>0</v>
      </c>
      <c r="K16" s="52">
        <v>0.03</v>
      </c>
      <c r="L16" s="65">
        <f t="shared" si="5"/>
        <v>2577.0183999999999</v>
      </c>
      <c r="M16" s="66">
        <f>$T$2*(MIN(L$16:L$19)/L16)</f>
        <v>84.446428477188988</v>
      </c>
      <c r="N16" s="66">
        <f t="shared" si="6"/>
        <v>94.446428477188988</v>
      </c>
      <c r="O16" s="84">
        <v>1</v>
      </c>
      <c r="P16" s="38">
        <f t="shared" si="2"/>
        <v>0.12121212121212122</v>
      </c>
      <c r="Q16" s="39">
        <f t="shared" si="3"/>
        <v>11.448051936628968</v>
      </c>
    </row>
    <row r="17" spans="1:17" s="3" customFormat="1" ht="35.1" customHeight="1" thickBot="1" x14ac:dyDescent="0.2">
      <c r="A17" s="96"/>
      <c r="B17" s="61" t="s">
        <v>28</v>
      </c>
      <c r="C17" s="20">
        <v>4000</v>
      </c>
      <c r="D17" s="29">
        <v>10</v>
      </c>
      <c r="E17" s="24">
        <v>2418</v>
      </c>
      <c r="F17" s="23">
        <f>$T$2*(MIN(E$16:E$19)/E17)</f>
        <v>90</v>
      </c>
      <c r="G17" s="78">
        <f t="shared" si="4"/>
        <v>100</v>
      </c>
      <c r="H17" s="47">
        <v>1</v>
      </c>
      <c r="I17" s="40">
        <f t="shared" si="0"/>
        <v>0.12121212121212122</v>
      </c>
      <c r="J17" s="41">
        <f t="shared" si="1"/>
        <v>12.121212121212121</v>
      </c>
      <c r="K17" s="53"/>
      <c r="L17" s="67">
        <f t="shared" si="5"/>
        <v>2418</v>
      </c>
      <c r="M17" s="66">
        <f>$T$2*(MIN(L$16:L$19)/L17)</f>
        <v>90</v>
      </c>
      <c r="N17" s="68">
        <f t="shared" si="6"/>
        <v>100</v>
      </c>
      <c r="O17" s="84"/>
      <c r="P17" s="40">
        <f t="shared" si="2"/>
        <v>0</v>
      </c>
      <c r="Q17" s="41">
        <f t="shared" si="3"/>
        <v>0</v>
      </c>
    </row>
    <row r="18" spans="1:17" s="3" customFormat="1" ht="47.25" customHeight="1" thickBot="1" x14ac:dyDescent="0.2">
      <c r="A18" s="96"/>
      <c r="B18" s="62" t="s">
        <v>29</v>
      </c>
      <c r="C18" s="20">
        <v>4000</v>
      </c>
      <c r="D18" s="33">
        <v>10</v>
      </c>
      <c r="E18" s="77">
        <v>2460</v>
      </c>
      <c r="F18" s="23">
        <f>$T$2*(MIN(E$16:E$19)/E18)</f>
        <v>88.463414634146346</v>
      </c>
      <c r="G18" s="79">
        <f t="shared" ref="G18" si="7">D18+F18</f>
        <v>98.463414634146346</v>
      </c>
      <c r="H18" s="72"/>
      <c r="I18" s="73"/>
      <c r="J18" s="74"/>
      <c r="K18" s="75"/>
      <c r="L18" s="81">
        <f t="shared" si="5"/>
        <v>2460</v>
      </c>
      <c r="M18" s="66">
        <f>$T$2*(MIN(L$16:L$19)/L18)</f>
        <v>88.463414634146346</v>
      </c>
      <c r="N18" s="82">
        <f t="shared" si="6"/>
        <v>98.463414634146346</v>
      </c>
      <c r="O18" s="84"/>
      <c r="P18" s="73"/>
      <c r="Q18" s="74"/>
    </row>
    <row r="19" spans="1:17" s="3" customFormat="1" ht="35.1" customHeight="1" thickBot="1" x14ac:dyDescent="0.2">
      <c r="A19" s="97"/>
      <c r="B19" s="63" t="s">
        <v>30</v>
      </c>
      <c r="C19" s="20">
        <v>4000</v>
      </c>
      <c r="D19" s="26">
        <v>10</v>
      </c>
      <c r="E19" s="27">
        <v>2582.1999999999998</v>
      </c>
      <c r="F19" s="23">
        <f>$T$2*(MIN(E$16:E$19)/E19)</f>
        <v>84.276973123692983</v>
      </c>
      <c r="G19" s="59">
        <f t="shared" si="4"/>
        <v>94.276973123692983</v>
      </c>
      <c r="H19" s="54"/>
      <c r="I19" s="42">
        <f t="shared" si="0"/>
        <v>0</v>
      </c>
      <c r="J19" s="43">
        <f t="shared" si="1"/>
        <v>0</v>
      </c>
      <c r="K19" s="51"/>
      <c r="L19" s="69">
        <f t="shared" si="5"/>
        <v>2582.1999999999998</v>
      </c>
      <c r="M19" s="66">
        <f>$T$2*(MIN(L$16:L$19)/L19)</f>
        <v>84.276973123692983</v>
      </c>
      <c r="N19" s="70">
        <f t="shared" si="6"/>
        <v>94.276973123692983</v>
      </c>
      <c r="O19" s="84"/>
      <c r="P19" s="42">
        <f t="shared" si="2"/>
        <v>0</v>
      </c>
      <c r="Q19" s="43">
        <f t="shared" si="3"/>
        <v>0</v>
      </c>
    </row>
    <row r="20" spans="1:17" s="3" customFormat="1" ht="35.1" customHeight="1" thickBot="1" x14ac:dyDescent="0.2">
      <c r="A20" s="95" t="s">
        <v>24</v>
      </c>
      <c r="B20" s="60" t="s">
        <v>27</v>
      </c>
      <c r="C20" s="20">
        <v>2000</v>
      </c>
      <c r="D20" s="21">
        <v>10</v>
      </c>
      <c r="E20" s="22">
        <v>1392.33</v>
      </c>
      <c r="F20" s="23">
        <f>$T$2*(MIN(E$20:E$22)/E20)</f>
        <v>55.267070306608353</v>
      </c>
      <c r="G20" s="59">
        <f t="shared" ref="G20" si="8">D20+F20</f>
        <v>65.26707030660836</v>
      </c>
      <c r="H20" s="46"/>
      <c r="I20" s="38">
        <f t="shared" ref="I20:I22" si="9">+$C20/$C$26*H20</f>
        <v>0</v>
      </c>
      <c r="J20" s="39">
        <f t="shared" ref="J20:J22" si="10">+G20*I20</f>
        <v>0</v>
      </c>
      <c r="K20" s="52">
        <v>0.03</v>
      </c>
      <c r="L20" s="65">
        <f t="shared" ref="L20:L22" si="11">+$E20*(1-K20)</f>
        <v>1350.5600999999999</v>
      </c>
      <c r="M20" s="66">
        <f>$T$2*(MIN(L$20:L$22)/L20)</f>
        <v>56.976361140833347</v>
      </c>
      <c r="N20" s="66">
        <f t="shared" ref="N20:N22" si="12">$D20+M20</f>
        <v>66.976361140833347</v>
      </c>
      <c r="O20" s="84">
        <v>1</v>
      </c>
      <c r="P20" s="38">
        <f t="shared" ref="P20:P22" si="13">+$C20/$C$26*O20</f>
        <v>6.0606060606060608E-2</v>
      </c>
      <c r="Q20" s="39">
        <f t="shared" ref="Q20:Q22" si="14">+N20*P20</f>
        <v>4.0591734024747481</v>
      </c>
    </row>
    <row r="21" spans="1:17" s="3" customFormat="1" ht="51" customHeight="1" thickBot="1" x14ac:dyDescent="0.2">
      <c r="A21" s="96"/>
      <c r="B21" s="61" t="s">
        <v>29</v>
      </c>
      <c r="C21" s="20">
        <v>2000</v>
      </c>
      <c r="D21" s="29">
        <v>10</v>
      </c>
      <c r="E21" s="24">
        <v>855</v>
      </c>
      <c r="F21" s="23">
        <f>$T$2*(MIN(E$20:E$22)/E21)</f>
        <v>90</v>
      </c>
      <c r="G21" s="57">
        <f t="shared" ref="G21" si="15">D21+F21</f>
        <v>100</v>
      </c>
      <c r="H21" s="47">
        <v>1</v>
      </c>
      <c r="I21" s="40">
        <f t="shared" si="9"/>
        <v>6.0606060606060608E-2</v>
      </c>
      <c r="J21" s="41">
        <f t="shared" si="10"/>
        <v>6.0606060606060606</v>
      </c>
      <c r="K21" s="53"/>
      <c r="L21" s="67">
        <f t="shared" si="11"/>
        <v>855</v>
      </c>
      <c r="M21" s="66">
        <f>$T$2*(MIN(L$20:L$22)/L21)</f>
        <v>90</v>
      </c>
      <c r="N21" s="68">
        <f t="shared" si="12"/>
        <v>100</v>
      </c>
      <c r="O21" s="70"/>
      <c r="P21" s="40">
        <f t="shared" si="13"/>
        <v>0</v>
      </c>
      <c r="Q21" s="41">
        <f t="shared" si="14"/>
        <v>0</v>
      </c>
    </row>
    <row r="22" spans="1:17" s="3" customFormat="1" ht="35.1" customHeight="1" thickBot="1" x14ac:dyDescent="0.2">
      <c r="A22" s="97"/>
      <c r="B22" s="63" t="s">
        <v>30</v>
      </c>
      <c r="C22" s="20">
        <v>2000</v>
      </c>
      <c r="D22" s="26">
        <v>10</v>
      </c>
      <c r="E22" s="76">
        <v>1081</v>
      </c>
      <c r="F22" s="23">
        <f>$T$2*(MIN(E$20:E$22)/E22)</f>
        <v>71.184088806660498</v>
      </c>
      <c r="G22" s="70">
        <f t="shared" ref="G22" si="16">D22+F22</f>
        <v>81.184088806660498</v>
      </c>
      <c r="H22" s="54"/>
      <c r="I22" s="42">
        <f t="shared" si="9"/>
        <v>0</v>
      </c>
      <c r="J22" s="43">
        <f t="shared" si="10"/>
        <v>0</v>
      </c>
      <c r="K22" s="51"/>
      <c r="L22" s="69">
        <f t="shared" si="11"/>
        <v>1081</v>
      </c>
      <c r="M22" s="66">
        <f>$T$2*(MIN(L$20:L$22)/L22)</f>
        <v>71.184088806660498</v>
      </c>
      <c r="N22" s="70">
        <f t="shared" si="12"/>
        <v>81.184088806660498</v>
      </c>
      <c r="O22" s="70"/>
      <c r="P22" s="42">
        <f t="shared" si="13"/>
        <v>0</v>
      </c>
      <c r="Q22" s="43">
        <f t="shared" si="14"/>
        <v>0</v>
      </c>
    </row>
    <row r="23" spans="1:17" s="3" customFormat="1" ht="61.5" customHeight="1" thickBot="1" x14ac:dyDescent="0.2">
      <c r="A23" s="19" t="s">
        <v>25</v>
      </c>
      <c r="B23" s="60" t="s">
        <v>32</v>
      </c>
      <c r="C23" s="20">
        <v>2000</v>
      </c>
      <c r="D23" s="21">
        <v>10</v>
      </c>
      <c r="E23" s="80">
        <v>1765.96</v>
      </c>
      <c r="F23" s="23">
        <f>$T$2*(MIN(E$23:E$23)/E23)</f>
        <v>90</v>
      </c>
      <c r="G23" s="57">
        <f t="shared" ref="G23:G25" si="17">D23+F23</f>
        <v>100</v>
      </c>
      <c r="H23" s="46">
        <v>1</v>
      </c>
      <c r="I23" s="38">
        <f t="shared" ref="I23:I25" si="18">+$C23/$C$26*H23</f>
        <v>6.0606060606060608E-2</v>
      </c>
      <c r="J23" s="39">
        <f t="shared" ref="J23:J25" si="19">+G23*I23</f>
        <v>6.0606060606060606</v>
      </c>
      <c r="K23" s="52"/>
      <c r="L23" s="65">
        <f t="shared" ref="L23:L25" si="20">+$E23*(1-K23)</f>
        <v>1765.96</v>
      </c>
      <c r="M23" s="66">
        <f>$T$2*(MIN(L$23:L$25)/L23)</f>
        <v>90</v>
      </c>
      <c r="N23" s="66">
        <f t="shared" ref="N23:N25" si="21">$D23+M23</f>
        <v>100</v>
      </c>
      <c r="O23" s="84">
        <v>1</v>
      </c>
      <c r="P23" s="38">
        <f t="shared" ref="P23:P25" si="22">+$C23/$C$26*O23</f>
        <v>6.0606060606060608E-2</v>
      </c>
      <c r="Q23" s="39">
        <f t="shared" ref="Q23:Q25" si="23">+N23*P23</f>
        <v>6.0606060606060606</v>
      </c>
    </row>
    <row r="24" spans="1:17" s="3" customFormat="1" ht="48" customHeight="1" thickBot="1" x14ac:dyDescent="0.2">
      <c r="A24" s="95" t="s">
        <v>26</v>
      </c>
      <c r="B24" s="60" t="s">
        <v>31</v>
      </c>
      <c r="C24" s="20">
        <v>8000</v>
      </c>
      <c r="D24" s="21">
        <v>10</v>
      </c>
      <c r="E24" s="22">
        <v>5072</v>
      </c>
      <c r="F24" s="23">
        <f>$T$2*(MIN(E$24:E$25)/E24)</f>
        <v>85.084779179810724</v>
      </c>
      <c r="G24" s="23">
        <f t="shared" si="17"/>
        <v>95.084779179810724</v>
      </c>
      <c r="H24" s="46"/>
      <c r="I24" s="38">
        <f t="shared" si="18"/>
        <v>0</v>
      </c>
      <c r="J24" s="39">
        <f t="shared" si="19"/>
        <v>0</v>
      </c>
      <c r="K24" s="52"/>
      <c r="L24" s="65">
        <f t="shared" si="20"/>
        <v>5072</v>
      </c>
      <c r="M24" s="66">
        <f>$T$2*(MIN(L$24:L$25)/L24)</f>
        <v>85.084779179810724</v>
      </c>
      <c r="N24" s="66">
        <f t="shared" si="21"/>
        <v>95.084779179810724</v>
      </c>
      <c r="O24" s="50"/>
      <c r="P24" s="38">
        <f t="shared" si="22"/>
        <v>0</v>
      </c>
      <c r="Q24" s="39">
        <f t="shared" si="23"/>
        <v>0</v>
      </c>
    </row>
    <row r="25" spans="1:17" s="3" customFormat="1" ht="58.5" customHeight="1" thickBot="1" x14ac:dyDescent="0.2">
      <c r="A25" s="97"/>
      <c r="B25" s="61" t="s">
        <v>33</v>
      </c>
      <c r="C25" s="28">
        <v>8000</v>
      </c>
      <c r="D25" s="29">
        <v>10</v>
      </c>
      <c r="E25" s="24">
        <v>4795</v>
      </c>
      <c r="F25" s="23">
        <f>$T$2*(MIN(E$24:E$25)/E25)</f>
        <v>90</v>
      </c>
      <c r="G25" s="25">
        <f t="shared" si="17"/>
        <v>100</v>
      </c>
      <c r="H25" s="47">
        <v>1</v>
      </c>
      <c r="I25" s="40">
        <f t="shared" si="18"/>
        <v>0.24242424242424243</v>
      </c>
      <c r="J25" s="41">
        <f t="shared" si="19"/>
        <v>24.242424242424242</v>
      </c>
      <c r="K25" s="53"/>
      <c r="L25" s="67">
        <f t="shared" si="20"/>
        <v>4795</v>
      </c>
      <c r="M25" s="66">
        <f>$T$2*(MIN(L$24:L$25)/L25)</f>
        <v>90</v>
      </c>
      <c r="N25" s="68">
        <f t="shared" si="21"/>
        <v>100</v>
      </c>
      <c r="O25" s="84">
        <v>1</v>
      </c>
      <c r="P25" s="40">
        <f t="shared" si="22"/>
        <v>0.24242424242424243</v>
      </c>
      <c r="Q25" s="41">
        <f t="shared" si="23"/>
        <v>24.242424242424242</v>
      </c>
    </row>
    <row r="26" spans="1:17" ht="42.75" customHeight="1" thickBot="1" x14ac:dyDescent="0.25">
      <c r="B26" s="44" t="s">
        <v>13</v>
      </c>
      <c r="C26" s="45">
        <f>C9+C13+C16+C20+C23+C24</f>
        <v>33000</v>
      </c>
      <c r="I26" s="55" t="s">
        <v>14</v>
      </c>
      <c r="J26" s="56">
        <f>SUM(J9:J25)</f>
        <v>100</v>
      </c>
      <c r="P26" s="55" t="s">
        <v>14</v>
      </c>
      <c r="Q26" s="56">
        <f>SUM(Q9:Q25)</f>
        <v>75.998070471248042</v>
      </c>
    </row>
    <row r="29" spans="1:17" ht="14.25" x14ac:dyDescent="0.2">
      <c r="A29" s="1" t="s">
        <v>2</v>
      </c>
    </row>
    <row r="30" spans="1:17" ht="14.25" x14ac:dyDescent="0.2">
      <c r="A30" s="1" t="s">
        <v>37</v>
      </c>
    </row>
    <row r="32" spans="1:17" ht="56.25" customHeight="1" x14ac:dyDescent="0.2">
      <c r="A32" s="87"/>
      <c r="B32" s="87"/>
      <c r="C32" s="87"/>
      <c r="D32" s="87"/>
      <c r="E32" s="87"/>
      <c r="F32" s="87"/>
      <c r="G32" s="87"/>
    </row>
  </sheetData>
  <mergeCells count="11">
    <mergeCell ref="A32:G32"/>
    <mergeCell ref="E7:J7"/>
    <mergeCell ref="K7:Q7"/>
    <mergeCell ref="A3:Q3"/>
    <mergeCell ref="A4:Q4"/>
    <mergeCell ref="A5:Q5"/>
    <mergeCell ref="A9:A12"/>
    <mergeCell ref="A13:A15"/>
    <mergeCell ref="A16:A19"/>
    <mergeCell ref="A20:A22"/>
    <mergeCell ref="A24:A25"/>
  </mergeCells>
  <printOptions horizontalCentered="1"/>
  <pageMargins left="0" right="0" top="0.35433070866141736" bottom="0.35433070866141736" header="0.31496062992125984" footer="0.31496062992125984"/>
  <pageSetup paperSize="9" scale="4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ALTERNATIVA ADJUDICADA</vt:lpstr>
      <vt:lpstr>valoración</vt:lpstr>
      <vt:lpstr>'ALTERNATIVA ADJUDICADA'!Área_de_impresión</vt:lpstr>
      <vt:lpstr>valoración!Área_de_impresión</vt:lpstr>
    </vt:vector>
  </TitlesOfParts>
  <Company>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Compras RTVE</dc:creator>
  <cp:lastModifiedBy>JESUS ANGEL GARCIA MAYOR</cp:lastModifiedBy>
  <cp:lastPrinted>2025-09-17T07:31:29Z</cp:lastPrinted>
  <dcterms:created xsi:type="dcterms:W3CDTF">2007-03-30T09:59:06Z</dcterms:created>
  <dcterms:modified xsi:type="dcterms:W3CDTF">2025-09-17T07:42:02Z</dcterms:modified>
</cp:coreProperties>
</file>