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2.- EXPEDIENTES COMITE\3.- EVALUACION\S-02537-2025 Servicios de protección de origen\Informe\"/>
    </mc:Choice>
  </mc:AlternateContent>
  <xr:revisionPtr revIDLastSave="0" documentId="13_ncr:1_{FDDB5C5A-A4A9-4CE4-BB48-6700D1B08ECB}" xr6:coauthVersionLast="47" xr6:coauthVersionMax="47" xr10:uidLastSave="{00000000-0000-0000-0000-000000000000}"/>
  <bookViews>
    <workbookView xWindow="-120" yWindow="-120" windowWidth="29040" windowHeight="1572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ADJUDICADA'!$A$1:$L$23</definedName>
    <definedName name="_xlnm.Print_Area" localSheetId="1">valoración!$A$2:$Q$24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0" i="6" l="1"/>
  <c r="L19" i="6"/>
  <c r="L17" i="6"/>
  <c r="C20" i="6"/>
  <c r="P17" i="5"/>
  <c r="P13" i="5"/>
  <c r="P18" i="5"/>
  <c r="I18" i="5"/>
  <c r="I17" i="5"/>
  <c r="I13" i="5"/>
  <c r="F10" i="5"/>
  <c r="F13" i="5"/>
  <c r="F17" i="5"/>
  <c r="F16" i="5"/>
  <c r="C20" i="5"/>
  <c r="L13" i="5"/>
  <c r="L17" i="5"/>
  <c r="L16" i="5"/>
  <c r="M16" i="5" s="1"/>
  <c r="M17" i="5" l="1"/>
  <c r="F19" i="5"/>
  <c r="F18" i="5"/>
  <c r="L18" i="6" l="1"/>
  <c r="L16" i="6"/>
  <c r="L15" i="6"/>
  <c r="L13" i="6"/>
  <c r="L10" i="6"/>
  <c r="A4" i="6" l="1"/>
  <c r="A3" i="6"/>
  <c r="A2" i="6"/>
  <c r="L19" i="5" l="1"/>
  <c r="G19" i="5"/>
  <c r="L18" i="5"/>
  <c r="G18" i="5"/>
  <c r="L15" i="5"/>
  <c r="L10" i="5"/>
  <c r="M19" i="5" l="1"/>
  <c r="M18" i="5"/>
  <c r="M13" i="5"/>
  <c r="N13" i="5" s="1"/>
  <c r="Q13" i="5" s="1"/>
  <c r="N17" i="5"/>
  <c r="N16" i="5"/>
  <c r="P19" i="5"/>
  <c r="I15" i="5"/>
  <c r="J18" i="5"/>
  <c r="P15" i="5"/>
  <c r="P16" i="5"/>
  <c r="I16" i="5"/>
  <c r="P10" i="5"/>
  <c r="I10" i="5"/>
  <c r="I19" i="5"/>
  <c r="J19" i="5" s="1"/>
  <c r="N19" i="5"/>
  <c r="N18" i="5"/>
  <c r="M15" i="5"/>
  <c r="N15" i="5" s="1"/>
  <c r="M10" i="5"/>
  <c r="N10" i="5" s="1"/>
  <c r="Q19" i="5" l="1"/>
  <c r="Q17" i="5"/>
  <c r="Q10" i="5"/>
  <c r="Q16" i="5"/>
  <c r="Q18" i="5"/>
  <c r="Q15" i="5"/>
  <c r="G13" i="5"/>
  <c r="J13" i="5" s="1"/>
  <c r="F15" i="5"/>
  <c r="G15" i="5" s="1"/>
  <c r="J15" i="5" s="1"/>
  <c r="G10" i="5"/>
  <c r="J10" i="5" s="1"/>
  <c r="G17" i="5"/>
  <c r="J17" i="5" s="1"/>
  <c r="G16" i="5"/>
  <c r="J16" i="5" s="1"/>
  <c r="Q20" i="5" l="1"/>
  <c r="J20" i="5"/>
</calcChain>
</file>

<file path=xl/sharedStrings.xml><?xml version="1.0" encoding="utf-8"?>
<sst xmlns="http://schemas.openxmlformats.org/spreadsheetml/2006/main" count="92" uniqueCount="45">
  <si>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</si>
  <si>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</si>
  <si>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</si>
  <si>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</si>
  <si>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</si>
  <si>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</si>
  <si>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</si>
  <si>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</si>
  <si>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</si>
  <si>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</si>
  <si>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</si>
  <si>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</si>
  <si>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</si>
  <si>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</si>
  <si>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</si>
  <si>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</si>
  <si>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</si>
  <si>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</si>
  <si>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Importe Oferta (Contrato + prorroga/s)</t>
  </si>
  <si>
    <t>%  Ahorro s/ licitación</t>
  </si>
  <si>
    <t>PROPUESTA DE ADJUDICACIÓN DEL EXPEDIENTE S-02537-2025</t>
  </si>
  <si>
    <t>"Servicios de proteccion en origen"</t>
  </si>
  <si>
    <t xml:space="preserve">LOTE 1: Servicios de protección DNS </t>
  </si>
  <si>
    <t>GLOBAL INCUBATOR SL</t>
  </si>
  <si>
    <t>LOTE 2: WAF</t>
  </si>
  <si>
    <t>LOTE 3: Servicio de protección de origen de directos</t>
  </si>
  <si>
    <t>LOTE 4: Servicios de respaldo de almacenamiento</t>
  </si>
  <si>
    <t>Valor estimado</t>
  </si>
  <si>
    <t>Importe Oferta</t>
  </si>
  <si>
    <t>ORANGE ESPAGNE SAU</t>
  </si>
  <si>
    <t>TECNOLOGIAS PLEXUS S.L.</t>
  </si>
  <si>
    <t>CROSSPOINT SAU</t>
  </si>
  <si>
    <t>NUNSYS, S.A.</t>
  </si>
  <si>
    <t>Telefonica Solde Informatica y Com de España SAU</t>
  </si>
  <si>
    <t>Desestimada</t>
  </si>
  <si>
    <t>La oferta presentada no cumple con todos los requisitos exigidos en el PCT y no ha superado correctamente las pruebas técnicas.</t>
  </si>
  <si>
    <t>La empresa no ha respondido en el plazo requerido a la solicitud de puesta a disposición de recursos técnicos y humanos para la realización de las pruebas técnicas.</t>
  </si>
  <si>
    <t>MAINSTREAMING SPA</t>
  </si>
  <si>
    <t>Transparent Edge Services, S.L.</t>
  </si>
  <si>
    <t>Flumotion Services</t>
  </si>
  <si>
    <t>La oferta presentada supera el importe de licitacion.</t>
  </si>
  <si>
    <t>Alternativa 2: oferta conjunta "Crosspoint" por los lotes 2 y 4 (2% y 1% de descuento)</t>
  </si>
  <si>
    <t>52,920.00 €</t>
  </si>
  <si>
    <t>Madrid, a 18 de septiembre de 2025</t>
  </si>
  <si>
    <t>La oferta presentada supera el importe de licitacion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</si>
</sst>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19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26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1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43" fontId="5" fillId="0" borderId="14" xfId="2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right" vertical="center" wrapText="1"/>
    </xf>
    <xf numFmtId="166" fontId="16" fillId="0" borderId="20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12" xfId="0" applyFont="1" applyFill="1" applyBorder="1"/>
    <xf numFmtId="4" fontId="6" fillId="4" borderId="16" xfId="0" applyNumberFormat="1" applyFont="1" applyFill="1" applyBorder="1" applyAlignment="1">
      <alignment horizontal="right" vertical="center" indent="1"/>
    </xf>
    <xf numFmtId="4" fontId="9" fillId="4" borderId="16" xfId="0" applyNumberFormat="1" applyFont="1" applyFill="1" applyBorder="1" applyAlignment="1">
      <alignment horizontal="right" vertical="center" indent="1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0" fontId="15" fillId="0" borderId="23" xfId="0" applyNumberFormat="1" applyFont="1" applyFill="1" applyBorder="1" applyAlignment="1">
      <alignment horizontal="left" vertical="top" wrapText="1"/>
    </xf>
    <xf numFmtId="43" fontId="5" fillId="0" borderId="24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166" fontId="6" fillId="4" borderId="16" xfId="0" applyNumberFormat="1" applyFont="1" applyFill="1" applyBorder="1" applyAlignment="1">
      <alignment horizontal="right" vertical="center" indent="1"/>
    </xf>
    <xf numFmtId="166" fontId="6" fillId="4" borderId="2" xfId="0" applyNumberFormat="1" applyFont="1" applyFill="1" applyBorder="1" applyAlignment="1">
      <alignment horizontal="right" vertical="center" indent="1"/>
    </xf>
    <xf numFmtId="0" fontId="0" fillId="5" borderId="0" xfId="0" applyFill="1"/>
    <xf numFmtId="9" fontId="5" fillId="5" borderId="11" xfId="3" applyFont="1" applyFill="1" applyBorder="1" applyAlignment="1">
      <alignment horizontal="center" vertical="center"/>
    </xf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10" fontId="5" fillId="5" borderId="12" xfId="0" applyNumberFormat="1" applyFont="1" applyFill="1" applyBorder="1" applyAlignment="1">
      <alignment horizontal="center" vertical="center"/>
    </xf>
    <xf numFmtId="43" fontId="5" fillId="5" borderId="13" xfId="2" applyFont="1" applyFill="1" applyBorder="1" applyAlignment="1">
      <alignment horizontal="center" vertical="center"/>
    </xf>
    <xf numFmtId="9" fontId="5" fillId="5" borderId="7" xfId="3" applyFont="1" applyFill="1" applyBorder="1" applyAlignment="1">
      <alignment horizontal="center" vertical="center"/>
    </xf>
    <xf numFmtId="10" fontId="5" fillId="5" borderId="2" xfId="0" applyNumberFormat="1" applyFont="1" applyFill="1" applyBorder="1" applyAlignment="1">
      <alignment horizontal="center" vertical="center"/>
    </xf>
    <xf numFmtId="43" fontId="5" fillId="5" borderId="14" xfId="2" applyFont="1" applyFill="1" applyBorder="1" applyAlignment="1">
      <alignment horizontal="center" vertical="center"/>
    </xf>
    <xf numFmtId="4" fontId="6" fillId="5" borderId="26" xfId="0" applyNumberFormat="1" applyFont="1" applyFill="1" applyBorder="1" applyAlignment="1">
      <alignment horizontal="center" vertical="center"/>
    </xf>
    <xf numFmtId="0" fontId="1" fillId="5" borderId="12" xfId="0" applyFont="1" applyFill="1" applyBorder="1"/>
    <xf numFmtId="9" fontId="5" fillId="5" borderId="15" xfId="3" applyFont="1" applyFill="1" applyBorder="1" applyAlignment="1">
      <alignment horizontal="center" vertical="center"/>
    </xf>
    <xf numFmtId="166" fontId="6" fillId="5" borderId="16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165" fontId="5" fillId="5" borderId="16" xfId="2" applyNumberFormat="1" applyFont="1" applyFill="1" applyBorder="1" applyAlignment="1">
      <alignment horizontal="center" vertical="center"/>
    </xf>
    <xf numFmtId="10" fontId="5" fillId="5" borderId="16" xfId="0" applyNumberFormat="1" applyFont="1" applyFill="1" applyBorder="1" applyAlignment="1">
      <alignment horizontal="center" vertical="center"/>
    </xf>
    <xf numFmtId="43" fontId="5" fillId="5" borderId="17" xfId="2" applyFont="1" applyFill="1" applyBorder="1" applyAlignment="1">
      <alignment horizontal="center" vertical="center"/>
    </xf>
    <xf numFmtId="165" fontId="5" fillId="5" borderId="2" xfId="2" applyNumberFormat="1" applyFont="1" applyFill="1" applyBorder="1" applyAlignment="1">
      <alignment horizontal="center" vertical="center"/>
    </xf>
    <xf numFmtId="0" fontId="1" fillId="5" borderId="16" xfId="0" applyFont="1" applyFill="1" applyBorder="1"/>
    <xf numFmtId="4" fontId="6" fillId="5" borderId="27" xfId="0" applyNumberFormat="1" applyFont="1" applyFill="1" applyBorder="1" applyAlignment="1">
      <alignment horizontal="center" vertical="center"/>
    </xf>
    <xf numFmtId="0" fontId="5" fillId="5" borderId="6" xfId="0" applyFont="1" applyFill="1" applyBorder="1"/>
    <xf numFmtId="4" fontId="6" fillId="4" borderId="26" xfId="0" applyNumberFormat="1" applyFont="1" applyFill="1" applyBorder="1" applyAlignment="1">
      <alignment horizontal="center" vertical="center"/>
    </xf>
    <xf numFmtId="165" fontId="5" fillId="0" borderId="28" xfId="2" applyNumberFormat="1" applyFont="1" applyFill="1" applyBorder="1" applyAlignment="1">
      <alignment horizontal="center" vertical="center"/>
    </xf>
    <xf numFmtId="10" fontId="5" fillId="0" borderId="29" xfId="0" applyNumberFormat="1" applyFont="1" applyFill="1" applyBorder="1" applyAlignment="1">
      <alignment horizontal="center" vertical="center"/>
    </xf>
    <xf numFmtId="43" fontId="5" fillId="0" borderId="30" xfId="2" applyFont="1" applyFill="1" applyBorder="1" applyAlignment="1">
      <alignment horizontal="center" vertical="center"/>
    </xf>
    <xf numFmtId="9" fontId="5" fillId="0" borderId="28" xfId="3" applyFont="1" applyFill="1" applyBorder="1" applyAlignment="1">
      <alignment horizontal="center" vertical="center"/>
    </xf>
    <xf numFmtId="166" fontId="6" fillId="0" borderId="31" xfId="0" applyNumberFormat="1" applyFont="1" applyFill="1" applyBorder="1" applyAlignment="1">
      <alignment horizontal="right" vertical="center" indent="1"/>
    </xf>
    <xf numFmtId="4" fontId="6" fillId="0" borderId="32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left" vertical="center" wrapText="1"/>
    </xf>
    <xf numFmtId="4" fontId="6" fillId="0" borderId="38" xfId="0" applyNumberFormat="1" applyFont="1" applyFill="1" applyBorder="1" applyAlignment="1">
      <alignment horizontal="center" vertical="center"/>
    </xf>
    <xf numFmtId="4" fontId="6" fillId="0" borderId="37" xfId="0" applyNumberFormat="1" applyFont="1" applyFill="1" applyBorder="1" applyAlignment="1">
      <alignment horizontal="left" vertical="center"/>
    </xf>
    <xf numFmtId="4" fontId="6" fillId="0" borderId="39" xfId="0" applyNumberFormat="1" applyFont="1" applyFill="1" applyBorder="1" applyAlignment="1">
      <alignment horizontal="left" vertical="center"/>
    </xf>
    <xf numFmtId="4" fontId="6" fillId="0" borderId="29" xfId="0" applyNumberFormat="1" applyFont="1" applyFill="1" applyBorder="1" applyAlignment="1">
      <alignment horizontal="right" vertical="center" indent="1"/>
    </xf>
    <xf numFmtId="166" fontId="6" fillId="0" borderId="29" xfId="0" applyNumberFormat="1" applyFont="1" applyFill="1" applyBorder="1" applyAlignment="1">
      <alignment horizontal="right" vertical="center" indent="1"/>
    </xf>
    <xf numFmtId="165" fontId="5" fillId="0" borderId="23" xfId="2" applyNumberFormat="1" applyFont="1" applyFill="1" applyBorder="1" applyAlignment="1">
      <alignment horizontal="center" vertical="center"/>
    </xf>
    <xf numFmtId="10" fontId="5" fillId="0" borderId="40" xfId="0" applyNumberFormat="1" applyFont="1" applyFill="1" applyBorder="1" applyAlignment="1">
      <alignment horizontal="center" vertical="center"/>
    </xf>
    <xf numFmtId="9" fontId="5" fillId="0" borderId="23" xfId="3" applyFont="1" applyFill="1" applyBorder="1" applyAlignment="1">
      <alignment horizontal="center" vertical="center"/>
    </xf>
    <xf numFmtId="165" fontId="5" fillId="0" borderId="40" xfId="2" applyNumberFormat="1" applyFont="1" applyFill="1" applyBorder="1" applyAlignment="1">
      <alignment horizontal="center" vertical="center"/>
    </xf>
    <xf numFmtId="4" fontId="6" fillId="0" borderId="4" xfId="0" applyNumberFormat="1" applyFont="1" applyFill="1" applyBorder="1" applyAlignment="1">
      <alignment horizontal="left" vertical="center"/>
    </xf>
    <xf numFmtId="4" fontId="6" fillId="0" borderId="21" xfId="0" applyNumberFormat="1" applyFont="1" applyFill="1" applyBorder="1" applyAlignment="1">
      <alignment horizontal="left" vertical="center"/>
    </xf>
    <xf numFmtId="4" fontId="6" fillId="0" borderId="25" xfId="0" applyNumberFormat="1" applyFont="1" applyFill="1" applyBorder="1" applyAlignment="1">
      <alignment horizontal="center" vertical="center"/>
    </xf>
    <xf numFmtId="4" fontId="6" fillId="4" borderId="27" xfId="0" applyNumberFormat="1" applyFont="1" applyFill="1" applyBorder="1" applyAlignment="1">
      <alignment horizontal="center" vertical="center"/>
    </xf>
    <xf numFmtId="4" fontId="6" fillId="0" borderId="26" xfId="0" applyNumberFormat="1" applyFont="1" applyFill="1" applyBorder="1" applyAlignment="1">
      <alignment horizontal="center" vertical="center"/>
    </xf>
    <xf numFmtId="166" fontId="6" fillId="4" borderId="29" xfId="0" applyNumberFormat="1" applyFont="1" applyFill="1" applyBorder="1" applyAlignment="1">
      <alignment horizontal="right" vertical="center" indent="1"/>
    </xf>
    <xf numFmtId="4" fontId="6" fillId="4" borderId="29" xfId="0" applyNumberFormat="1" applyFont="1" applyFill="1" applyBorder="1" applyAlignment="1">
      <alignment horizontal="right" vertical="center" inden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9" fontId="5" fillId="5" borderId="19" xfId="3" applyFont="1" applyFill="1" applyBorder="1" applyAlignment="1">
      <alignment horizontal="center" vertical="center"/>
    </xf>
    <xf numFmtId="9" fontId="5" fillId="5" borderId="18" xfId="3" applyFont="1" applyFill="1" applyBorder="1" applyAlignment="1">
      <alignment horizontal="center" vertical="center"/>
    </xf>
    <xf numFmtId="9" fontId="5" fillId="5" borderId="41" xfId="3" applyFont="1" applyFill="1" applyBorder="1" applyAlignment="1">
      <alignment horizontal="center" vertical="center"/>
    </xf>
    <xf numFmtId="9" fontId="5" fillId="5" borderId="33" xfId="3" applyFont="1" applyFill="1" applyBorder="1" applyAlignment="1">
      <alignment horizontal="left" vertical="center" wrapText="1"/>
    </xf>
    <xf numFmtId="9" fontId="5" fillId="5" borderId="34" xfId="3" applyFont="1" applyFill="1" applyBorder="1" applyAlignment="1">
      <alignment horizontal="left" vertical="center" wrapText="1"/>
    </xf>
    <xf numFmtId="9" fontId="5" fillId="5" borderId="35" xfId="3" applyFont="1" applyFill="1" applyBorder="1" applyAlignment="1">
      <alignment horizontal="left" vertical="center" wrapText="1"/>
    </xf>
    <xf numFmtId="166" fontId="6" fillId="0" borderId="21" xfId="0" applyNumberFormat="1" applyFont="1" applyFill="1" applyBorder="1" applyAlignment="1">
      <alignment horizontal="center" vertical="center"/>
    </xf>
    <xf numFmtId="166" fontId="6" fillId="0" borderId="22" xfId="0" applyNumberFormat="1" applyFont="1" applyFill="1" applyBorder="1" applyAlignment="1">
      <alignment horizontal="center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21" xfId="3" applyFont="1" applyFill="1" applyBorder="1" applyAlignment="1">
      <alignment horizontal="left" vertical="center"/>
    </xf>
    <xf numFmtId="9" fontId="17" fillId="0" borderId="22" xfId="3" applyFont="1" applyFill="1" applyBorder="1" applyAlignment="1">
      <alignment horizontal="left" vertical="center"/>
    </xf>
    <xf numFmtId="0" fontId="18" fillId="5" borderId="0" xfId="0" applyFont="1" applyFill="1" applyAlignment="1">
      <alignment horizontal="center"/>
    </xf>
    <xf numFmtId="0" fontId="9" fillId="3" borderId="5" xfId="0" applyFont="1" applyFill="1" applyBorder="1" applyAlignment="1">
      <alignment horizontal="left" vertical="center" wrapText="1"/>
    </xf>
    <xf numFmtId="4" fontId="6" fillId="0" borderId="21" xfId="0" applyNumberFormat="1" applyFont="1" applyFill="1" applyBorder="1" applyAlignment="1">
      <alignment horizontal="center" vertical="center"/>
    </xf>
    <xf numFmtId="4" fontId="6" fillId="0" borderId="2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21" xfId="2" applyNumberFormat="1" applyFont="1" applyFill="1" applyBorder="1" applyAlignment="1">
      <alignment horizontal="left" vertical="center"/>
    </xf>
    <xf numFmtId="165" fontId="17" fillId="0" borderId="22" xfId="2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left" vertical="center"/>
    </xf>
    <xf numFmtId="4" fontId="6" fillId="0" borderId="21" xfId="0" applyNumberFormat="1" applyFont="1" applyFill="1" applyBorder="1" applyAlignment="1">
      <alignment horizontal="left" vertical="center"/>
    </xf>
    <xf numFmtId="4" fontId="6" fillId="0" borderId="22" xfId="0" applyNumberFormat="1" applyFont="1" applyFill="1" applyBorder="1" applyAlignment="1">
      <alignment horizontal="left" vertical="center"/>
    </xf>
    <xf numFmtId="4" fontId="6" fillId="0" borderId="36" xfId="0" applyNumberFormat="1" applyFont="1" applyFill="1" applyBorder="1" applyAlignment="1">
      <alignment horizontal="left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4"/>
  <sheetViews>
    <sheetView tabSelected="1" topLeftCell="A7" workbookViewId="0">
      <selection activeCell="E13" sqref="E13"/>
    </sheetView>
  </sheetViews>
  <sheetFormatPr baseColWidth="10" defaultRowHeight="12.75" x14ac:dyDescent="0.2"/>
  <cols>
    <col min="1" max="1" width="32.85546875" customWidth="1"/>
    <col min="2" max="2" width="24.5703125" customWidth="1"/>
    <col min="3" max="3" width="29.5703125" customWidth="1"/>
    <col min="4" max="4" width="21.140625" customWidth="1"/>
    <col min="5" max="5" width="19.28515625" customWidth="1"/>
    <col min="6" max="6" width="18.7109375" customWidth="1"/>
    <col min="7" max="11" width="16.7109375" customWidth="1"/>
    <col min="12" max="12" width="16.140625" customWidth="1"/>
  </cols>
  <sheetData>
    <row r="1" spans="1:12" ht="48" customHeight="1" x14ac:dyDescent="0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18" x14ac:dyDescent="0.25">
      <c r="A2" s="113" t="str">
        <f>valoración!A3</f>
        <v>PROPUESTA DE ADJUDICACIÓN DEL EXPEDIENTE S-02537-2025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55"/>
    </row>
    <row r="3" spans="1:12" ht="18" x14ac:dyDescent="0.25">
      <c r="A3" s="113" t="str">
        <f>valoración!A4</f>
        <v>"Servicios de proteccion en origen"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55"/>
    </row>
    <row r="4" spans="1:12" ht="18" x14ac:dyDescent="0.25">
      <c r="A4" s="113" t="str">
        <f>valoración!A5</f>
        <v>RESUMEN PUNTUACIÓN TÉCNICA Y ECONÓMICA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55"/>
    </row>
    <row r="5" spans="1:12" x14ac:dyDescent="0.2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3.5" thickBot="1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</row>
    <row r="7" spans="1:12" ht="30.75" customHeight="1" thickBot="1" x14ac:dyDescent="0.25">
      <c r="A7" s="55"/>
      <c r="B7" s="55"/>
      <c r="C7" s="55"/>
      <c r="D7" s="55"/>
      <c r="E7" s="110" t="s">
        <v>41</v>
      </c>
      <c r="F7" s="111"/>
      <c r="G7" s="111"/>
      <c r="H7" s="111"/>
      <c r="I7" s="111"/>
      <c r="J7" s="111"/>
      <c r="K7" s="112"/>
      <c r="L7" s="55"/>
    </row>
    <row r="8" spans="1:12" ht="60.75" thickBot="1" x14ac:dyDescent="0.25">
      <c r="A8" s="15" t="s">
        <v>4</v>
      </c>
      <c r="B8" s="16" t="s">
        <v>5</v>
      </c>
      <c r="C8" s="17" t="s">
        <v>27</v>
      </c>
      <c r="D8" s="18" t="s">
        <v>0</v>
      </c>
      <c r="E8" s="16" t="s">
        <v>15</v>
      </c>
      <c r="F8" s="16" t="s">
        <v>18</v>
      </c>
      <c r="G8" s="17" t="s">
        <v>1</v>
      </c>
      <c r="H8" s="17" t="s">
        <v>16</v>
      </c>
      <c r="I8" s="17" t="s">
        <v>9</v>
      </c>
      <c r="J8" s="17" t="s">
        <v>10</v>
      </c>
      <c r="K8" s="18" t="s">
        <v>11</v>
      </c>
      <c r="L8" s="17" t="s">
        <v>19</v>
      </c>
    </row>
    <row r="9" spans="1:12" ht="35.1" customHeight="1" thickBot="1" x14ac:dyDescent="0.25">
      <c r="A9" s="19" t="s">
        <v>22</v>
      </c>
      <c r="B9" s="83" t="s">
        <v>23</v>
      </c>
      <c r="C9" s="22">
        <v>42840</v>
      </c>
      <c r="D9" s="23">
        <v>22</v>
      </c>
      <c r="E9" s="56"/>
      <c r="F9" s="46">
        <v>52920</v>
      </c>
      <c r="G9" s="108" t="s">
        <v>44</v>
      </c>
      <c r="H9" s="108"/>
      <c r="I9" s="108"/>
      <c r="J9" s="108"/>
      <c r="K9" s="109"/>
      <c r="L9" s="95"/>
    </row>
    <row r="10" spans="1:12" ht="35.1" customHeight="1" thickBot="1" x14ac:dyDescent="0.25">
      <c r="A10" s="19" t="s">
        <v>24</v>
      </c>
      <c r="B10" s="83" t="s">
        <v>23</v>
      </c>
      <c r="C10" s="22">
        <v>384000</v>
      </c>
      <c r="D10" s="23">
        <v>17</v>
      </c>
      <c r="E10" s="45"/>
      <c r="F10" s="46">
        <v>349774.47</v>
      </c>
      <c r="G10" s="25">
        <v>65.518154026507418</v>
      </c>
      <c r="H10" s="25">
        <v>82.518154026507418</v>
      </c>
      <c r="I10" s="42"/>
      <c r="J10" s="33"/>
      <c r="K10" s="34">
        <v>0</v>
      </c>
      <c r="L10" s="64">
        <f t="shared" ref="L10:L19" si="0">100-($F10*100/$C10)</f>
        <v>8.9128984375000044</v>
      </c>
    </row>
    <row r="11" spans="1:12" ht="35.1" customHeight="1" thickBot="1" x14ac:dyDescent="0.25">
      <c r="A11" s="20"/>
      <c r="B11" s="83" t="s">
        <v>29</v>
      </c>
      <c r="C11" s="22">
        <v>384000</v>
      </c>
      <c r="D11" s="23" t="s">
        <v>34</v>
      </c>
      <c r="E11" s="102" t="s">
        <v>35</v>
      </c>
      <c r="F11" s="103"/>
      <c r="G11" s="103"/>
      <c r="H11" s="103"/>
      <c r="I11" s="103"/>
      <c r="J11" s="103"/>
      <c r="K11" s="104"/>
      <c r="L11" s="64"/>
    </row>
    <row r="12" spans="1:12" ht="35.1" customHeight="1" thickBot="1" x14ac:dyDescent="0.25">
      <c r="A12" s="20"/>
      <c r="B12" s="83" t="s">
        <v>30</v>
      </c>
      <c r="C12" s="22">
        <v>384000</v>
      </c>
      <c r="D12" s="84" t="s">
        <v>34</v>
      </c>
      <c r="E12" s="102" t="s">
        <v>35</v>
      </c>
      <c r="F12" s="103"/>
      <c r="G12" s="103"/>
      <c r="H12" s="103"/>
      <c r="I12" s="103"/>
      <c r="J12" s="103"/>
      <c r="K12" s="104"/>
      <c r="L12" s="64"/>
    </row>
    <row r="13" spans="1:12" ht="35.1" customHeight="1" thickBot="1" x14ac:dyDescent="0.25">
      <c r="A13" s="20"/>
      <c r="B13" s="83" t="s">
        <v>31</v>
      </c>
      <c r="C13" s="22">
        <v>384000</v>
      </c>
      <c r="D13" s="23">
        <v>27</v>
      </c>
      <c r="E13" s="61">
        <v>0.02</v>
      </c>
      <c r="F13" s="98">
        <v>355622.39999999997</v>
      </c>
      <c r="G13" s="99">
        <v>64.440759637188222</v>
      </c>
      <c r="H13" s="99">
        <v>91.440759637188222</v>
      </c>
      <c r="I13" s="77">
        <v>1</v>
      </c>
      <c r="J13" s="78">
        <v>0.39483425187134985</v>
      </c>
      <c r="K13" s="79">
        <v>36.103943921897134</v>
      </c>
      <c r="L13" s="76">
        <f t="shared" si="0"/>
        <v>7.3900000000000006</v>
      </c>
    </row>
    <row r="14" spans="1:12" ht="35.1" customHeight="1" thickBot="1" x14ac:dyDescent="0.25">
      <c r="A14" s="20"/>
      <c r="B14" s="83" t="s">
        <v>32</v>
      </c>
      <c r="C14" s="22">
        <v>384000</v>
      </c>
      <c r="D14" s="23" t="s">
        <v>34</v>
      </c>
      <c r="E14" s="105" t="s">
        <v>36</v>
      </c>
      <c r="F14" s="106"/>
      <c r="G14" s="106"/>
      <c r="H14" s="106"/>
      <c r="I14" s="106"/>
      <c r="J14" s="106"/>
      <c r="K14" s="107"/>
      <c r="L14" s="64"/>
    </row>
    <row r="15" spans="1:12" ht="35.1" customHeight="1" thickBot="1" x14ac:dyDescent="0.25">
      <c r="A15" s="21"/>
      <c r="B15" s="83" t="s">
        <v>33</v>
      </c>
      <c r="C15" s="22">
        <v>384000</v>
      </c>
      <c r="D15" s="23">
        <v>15</v>
      </c>
      <c r="E15" s="66"/>
      <c r="F15" s="49">
        <v>327379.68</v>
      </c>
      <c r="G15" s="28">
        <v>70</v>
      </c>
      <c r="H15" s="28">
        <v>85</v>
      </c>
      <c r="I15" s="69"/>
      <c r="J15" s="70">
        <v>0</v>
      </c>
      <c r="K15" s="71">
        <v>0</v>
      </c>
      <c r="L15" s="97">
        <f t="shared" si="0"/>
        <v>14.744874999999993</v>
      </c>
    </row>
    <row r="16" spans="1:12" ht="35.1" customHeight="1" thickBot="1" x14ac:dyDescent="0.25">
      <c r="A16" s="100" t="s">
        <v>25</v>
      </c>
      <c r="B16" s="83" t="s">
        <v>37</v>
      </c>
      <c r="C16" s="22">
        <v>129120</v>
      </c>
      <c r="D16" s="23">
        <v>20</v>
      </c>
      <c r="E16" s="56"/>
      <c r="F16" s="57">
        <v>109752</v>
      </c>
      <c r="G16" s="58">
        <v>59.698228733872732</v>
      </c>
      <c r="H16" s="58">
        <v>79.698228733872725</v>
      </c>
      <c r="I16" s="65"/>
      <c r="J16" s="59">
        <v>0</v>
      </c>
      <c r="K16" s="60">
        <v>0</v>
      </c>
      <c r="L16" s="64">
        <f t="shared" si="0"/>
        <v>15</v>
      </c>
    </row>
    <row r="17" spans="1:12" ht="35.1" customHeight="1" thickBot="1" x14ac:dyDescent="0.25">
      <c r="A17" s="114"/>
      <c r="B17" s="83" t="s">
        <v>38</v>
      </c>
      <c r="C17" s="22">
        <v>129120</v>
      </c>
      <c r="D17" s="23">
        <v>25</v>
      </c>
      <c r="E17" s="61"/>
      <c r="F17" s="54">
        <v>93600</v>
      </c>
      <c r="G17" s="26">
        <v>70</v>
      </c>
      <c r="H17" s="27">
        <v>95</v>
      </c>
      <c r="I17" s="72">
        <v>1</v>
      </c>
      <c r="J17" s="62">
        <v>0.13276301719174138</v>
      </c>
      <c r="K17" s="63">
        <v>12.612486633215431</v>
      </c>
      <c r="L17" s="76">
        <f>100-($F17*100/$C17)</f>
        <v>27.509293680297404</v>
      </c>
    </row>
    <row r="18" spans="1:12" ht="35.1" customHeight="1" thickBot="1" x14ac:dyDescent="0.25">
      <c r="A18" s="100" t="s">
        <v>26</v>
      </c>
      <c r="B18" s="83" t="s">
        <v>31</v>
      </c>
      <c r="C18" s="22">
        <v>416600</v>
      </c>
      <c r="D18" s="23">
        <v>27</v>
      </c>
      <c r="E18" s="66">
        <v>0.01</v>
      </c>
      <c r="F18" s="53">
        <v>384888.24</v>
      </c>
      <c r="G18" s="43">
        <v>70</v>
      </c>
      <c r="H18" s="44">
        <v>97</v>
      </c>
      <c r="I18" s="72">
        <v>1</v>
      </c>
      <c r="J18" s="70">
        <v>0.42835403471251132</v>
      </c>
      <c r="K18" s="71">
        <v>41.550341367113596</v>
      </c>
      <c r="L18" s="96">
        <f t="shared" si="0"/>
        <v>7.6120403264522309</v>
      </c>
    </row>
    <row r="19" spans="1:12" ht="36.75" customHeight="1" thickBot="1" x14ac:dyDescent="0.25">
      <c r="A19" s="101"/>
      <c r="B19" s="83" t="s">
        <v>39</v>
      </c>
      <c r="C19" s="22">
        <v>416600</v>
      </c>
      <c r="D19" s="23">
        <v>24</v>
      </c>
      <c r="E19" s="66"/>
      <c r="F19" s="67">
        <v>399102.8</v>
      </c>
      <c r="G19" s="68">
        <v>67.50685988672592</v>
      </c>
      <c r="H19" s="68">
        <v>91.50685988672592</v>
      </c>
      <c r="I19" s="73"/>
      <c r="J19" s="70"/>
      <c r="K19" s="71">
        <v>0</v>
      </c>
      <c r="L19" s="74">
        <f t="shared" si="0"/>
        <v>4.2000000000000028</v>
      </c>
    </row>
    <row r="20" spans="1:12" ht="41.25" thickBot="1" x14ac:dyDescent="0.25">
      <c r="A20" s="9"/>
      <c r="B20" s="38" t="s">
        <v>12</v>
      </c>
      <c r="C20" s="39">
        <f>C9+C10+C18+C16</f>
        <v>972560</v>
      </c>
      <c r="D20" s="10"/>
      <c r="E20" s="55"/>
      <c r="F20" s="55"/>
      <c r="G20" s="55"/>
      <c r="H20" s="55"/>
      <c r="I20" s="55"/>
      <c r="J20" s="50" t="s">
        <v>13</v>
      </c>
      <c r="K20" s="51">
        <f>SUM(K9:K19)</f>
        <v>90.266771922226155</v>
      </c>
      <c r="L20" s="55"/>
    </row>
    <row r="21" spans="1:12" x14ac:dyDescent="0.2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</row>
    <row r="22" spans="1:12" ht="14.25" x14ac:dyDescent="0.2">
      <c r="A22" s="75" t="s">
        <v>2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</row>
    <row r="23" spans="1:12" ht="14.25" x14ac:dyDescent="0.2">
      <c r="A23" s="75" t="s">
        <v>43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</row>
    <row r="24" spans="1:12" x14ac:dyDescent="0.2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</row>
  </sheetData>
  <mergeCells count="10">
    <mergeCell ref="E7:K7"/>
    <mergeCell ref="A2:K2"/>
    <mergeCell ref="A3:K3"/>
    <mergeCell ref="A4:K4"/>
    <mergeCell ref="A16:A17"/>
    <mergeCell ref="A18:A19"/>
    <mergeCell ref="E11:K11"/>
    <mergeCell ref="E12:K12"/>
    <mergeCell ref="E14:K14"/>
    <mergeCell ref="G9:K9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6"/>
  <sheetViews>
    <sheetView showGridLines="0" showZeros="0" topLeftCell="A7" zoomScaleNormal="100" workbookViewId="0">
      <selection activeCell="H15" sqref="H15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6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17</v>
      </c>
      <c r="U2" s="14">
        <v>70</v>
      </c>
    </row>
    <row r="3" spans="1:21" s="3" customFormat="1" ht="22.5" customHeight="1" x14ac:dyDescent="0.15">
      <c r="A3" s="121" t="s">
        <v>20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T3" s="32" t="s">
        <v>8</v>
      </c>
    </row>
    <row r="4" spans="1:21" s="3" customFormat="1" ht="22.5" customHeight="1" x14ac:dyDescent="0.15">
      <c r="A4" s="121" t="s">
        <v>21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</row>
    <row r="5" spans="1:21" s="3" customFormat="1" ht="24.6" customHeight="1" x14ac:dyDescent="0.15">
      <c r="A5" s="121" t="s">
        <v>3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</row>
    <row r="6" spans="1:21" s="3" customFormat="1" ht="24.6" customHeight="1" thickBot="1" x14ac:dyDescent="0.2">
      <c r="A6" s="31"/>
      <c r="B6" s="31"/>
      <c r="C6" s="31"/>
      <c r="D6" s="31"/>
      <c r="E6" s="31"/>
      <c r="F6" s="31"/>
      <c r="G6" s="31"/>
      <c r="H6" s="4"/>
    </row>
    <row r="7" spans="1:21" s="3" customFormat="1" ht="24.75" customHeight="1" thickBot="1" x14ac:dyDescent="0.3">
      <c r="A7" s="2"/>
      <c r="B7" s="6"/>
      <c r="C7" s="7"/>
      <c r="D7" s="7"/>
      <c r="E7" s="118" t="s">
        <v>14</v>
      </c>
      <c r="F7" s="119"/>
      <c r="G7" s="119"/>
      <c r="H7" s="119"/>
      <c r="I7" s="119"/>
      <c r="J7" s="120"/>
      <c r="K7" s="110" t="s">
        <v>41</v>
      </c>
      <c r="L7" s="111"/>
      <c r="M7" s="111"/>
      <c r="N7" s="111"/>
      <c r="O7" s="111"/>
      <c r="P7" s="111"/>
      <c r="Q7" s="112"/>
    </row>
    <row r="8" spans="1:21" s="8" customFormat="1" ht="30.75" thickBot="1" x14ac:dyDescent="0.25">
      <c r="A8" s="15" t="s">
        <v>4</v>
      </c>
      <c r="B8" s="16" t="s">
        <v>5</v>
      </c>
      <c r="C8" s="17" t="s">
        <v>27</v>
      </c>
      <c r="D8" s="18" t="s">
        <v>0</v>
      </c>
      <c r="E8" s="16" t="s">
        <v>28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28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1" s="3" customFormat="1" ht="35.1" customHeight="1" thickBot="1" x14ac:dyDescent="0.2">
      <c r="A9" s="19" t="s">
        <v>22</v>
      </c>
      <c r="B9" s="83" t="s">
        <v>23</v>
      </c>
      <c r="C9" s="22">
        <v>42840</v>
      </c>
      <c r="D9" s="23">
        <v>22</v>
      </c>
      <c r="E9" s="24" t="s">
        <v>42</v>
      </c>
      <c r="F9" s="125" t="s">
        <v>40</v>
      </c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4"/>
    </row>
    <row r="10" spans="1:21" s="3" customFormat="1" ht="35.1" customHeight="1" thickBot="1" x14ac:dyDescent="0.2">
      <c r="A10" s="19" t="s">
        <v>24</v>
      </c>
      <c r="B10" s="83" t="s">
        <v>23</v>
      </c>
      <c r="C10" s="22">
        <v>384000</v>
      </c>
      <c r="D10" s="23">
        <v>17</v>
      </c>
      <c r="E10" s="24">
        <v>349774.47</v>
      </c>
      <c r="F10" s="25">
        <f>$U$2*(MIN(E$10:E$15)/E10)</f>
        <v>65.518154026507418</v>
      </c>
      <c r="G10" s="25">
        <f t="shared" ref="G10:G19" si="0">D10+F10</f>
        <v>82.518154026507418</v>
      </c>
      <c r="H10" s="40"/>
      <c r="I10" s="33">
        <f>+$C10/$C$20*H10</f>
        <v>0</v>
      </c>
      <c r="J10" s="34">
        <f t="shared" ref="J10:J19" si="1">+G10*I10</f>
        <v>0</v>
      </c>
      <c r="K10" s="45"/>
      <c r="L10" s="46">
        <f t="shared" ref="L10:L19" si="2">+$E10*(1-K10)</f>
        <v>349774.47</v>
      </c>
      <c r="M10" s="25">
        <f>$U$2*(MIN(L$10:L$15)/L10)</f>
        <v>65.518154026507418</v>
      </c>
      <c r="N10" s="25">
        <f t="shared" ref="N10:N19" si="3">$D10+M10</f>
        <v>82.518154026507418</v>
      </c>
      <c r="O10" s="42"/>
      <c r="P10" s="33">
        <f>+$C10/$C$20*O10</f>
        <v>0</v>
      </c>
      <c r="Q10" s="34">
        <f t="shared" ref="Q10:Q19" si="4">+N10*P10</f>
        <v>0</v>
      </c>
    </row>
    <row r="11" spans="1:21" s="3" customFormat="1" ht="35.1" customHeight="1" thickBot="1" x14ac:dyDescent="0.2">
      <c r="A11" s="20"/>
      <c r="B11" s="83" t="s">
        <v>29</v>
      </c>
      <c r="C11" s="22">
        <v>384000</v>
      </c>
      <c r="D11" s="23" t="s">
        <v>34</v>
      </c>
      <c r="E11" s="85" t="s">
        <v>35</v>
      </c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6"/>
    </row>
    <row r="12" spans="1:21" s="3" customFormat="1" ht="35.1" customHeight="1" thickBot="1" x14ac:dyDescent="0.2">
      <c r="A12" s="20"/>
      <c r="B12" s="83" t="s">
        <v>30</v>
      </c>
      <c r="C12" s="22">
        <v>384000</v>
      </c>
      <c r="D12" s="84" t="s">
        <v>34</v>
      </c>
      <c r="E12" s="122" t="s">
        <v>35</v>
      </c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4"/>
    </row>
    <row r="13" spans="1:21" s="3" customFormat="1" ht="35.1" customHeight="1" thickBot="1" x14ac:dyDescent="0.2">
      <c r="A13" s="20"/>
      <c r="B13" s="83" t="s">
        <v>31</v>
      </c>
      <c r="C13" s="22">
        <v>384000</v>
      </c>
      <c r="D13" s="23">
        <v>27</v>
      </c>
      <c r="E13" s="24">
        <v>362880</v>
      </c>
      <c r="F13" s="25">
        <f>$U$2*(MIN(E$10:E$15)/E13)</f>
        <v>63.151944444444439</v>
      </c>
      <c r="G13" s="25">
        <f t="shared" ref="G13" si="5">D13+F13</f>
        <v>90.151944444444439</v>
      </c>
      <c r="H13" s="40">
        <v>1</v>
      </c>
      <c r="I13" s="33">
        <f>+$C13/$C$20*H13</f>
        <v>0.39483425187134985</v>
      </c>
      <c r="J13" s="34">
        <f t="shared" ref="J13" si="6">+G13*I13</f>
        <v>35.595075539469711</v>
      </c>
      <c r="K13" s="80">
        <v>0.02</v>
      </c>
      <c r="L13" s="88">
        <f t="shared" ref="L13" si="7">+$E13*(1-K13)</f>
        <v>355622.39999999997</v>
      </c>
      <c r="M13" s="87">
        <f>$U$2*(MIN(L$10:L$15)/L13)</f>
        <v>64.440759637188222</v>
      </c>
      <c r="N13" s="87">
        <f t="shared" ref="N13" si="8">$D13+M13</f>
        <v>91.440759637188222</v>
      </c>
      <c r="O13" s="77">
        <v>1</v>
      </c>
      <c r="P13" s="78">
        <f>+$C13/$C$20*O13</f>
        <v>0.39483425187134985</v>
      </c>
      <c r="Q13" s="79">
        <f>+N13*P13</f>
        <v>36.103943921897134</v>
      </c>
    </row>
    <row r="14" spans="1:21" s="3" customFormat="1" ht="35.1" customHeight="1" thickBot="1" x14ac:dyDescent="0.2">
      <c r="A14" s="20"/>
      <c r="B14" s="83" t="s">
        <v>32</v>
      </c>
      <c r="C14" s="22">
        <v>384000</v>
      </c>
      <c r="D14" s="23" t="s">
        <v>34</v>
      </c>
      <c r="E14" s="93" t="s">
        <v>36</v>
      </c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15"/>
      <c r="Q14" s="116"/>
    </row>
    <row r="15" spans="1:21" s="3" customFormat="1" ht="35.1" customHeight="1" thickBot="1" x14ac:dyDescent="0.2">
      <c r="A15" s="21"/>
      <c r="B15" s="83" t="s">
        <v>33</v>
      </c>
      <c r="C15" s="22">
        <v>384000</v>
      </c>
      <c r="D15" s="23">
        <v>15</v>
      </c>
      <c r="E15" s="81">
        <v>327379.68</v>
      </c>
      <c r="F15" s="82">
        <f>$U$2*(MIN(E$10:E$15)/E15)</f>
        <v>70</v>
      </c>
      <c r="G15" s="82">
        <f t="shared" si="0"/>
        <v>85</v>
      </c>
      <c r="H15" s="89"/>
      <c r="I15" s="90">
        <f>+$C15/$C$20*H15</f>
        <v>0</v>
      </c>
      <c r="J15" s="51">
        <f t="shared" si="1"/>
        <v>0</v>
      </c>
      <c r="K15" s="91"/>
      <c r="L15" s="46">
        <f t="shared" si="2"/>
        <v>327379.68</v>
      </c>
      <c r="M15" s="25">
        <f>$U$2*(MIN(L$10:L$15)/L15)</f>
        <v>70</v>
      </c>
      <c r="N15" s="25">
        <f t="shared" si="3"/>
        <v>85</v>
      </c>
      <c r="O15" s="92"/>
      <c r="P15" s="90">
        <f>+$C15/$C$20*O15</f>
        <v>0</v>
      </c>
      <c r="Q15" s="51">
        <f t="shared" si="4"/>
        <v>0</v>
      </c>
    </row>
    <row r="16" spans="1:21" s="3" customFormat="1" ht="35.1" customHeight="1" thickBot="1" x14ac:dyDescent="0.2">
      <c r="A16" s="100" t="s">
        <v>25</v>
      </c>
      <c r="B16" s="83" t="s">
        <v>37</v>
      </c>
      <c r="C16" s="22">
        <v>129120</v>
      </c>
      <c r="D16" s="23">
        <v>20</v>
      </c>
      <c r="E16" s="24">
        <v>109752</v>
      </c>
      <c r="F16" s="25">
        <f>$U$2*(MIN(E$16:E$17)/E16)</f>
        <v>59.698228733872732</v>
      </c>
      <c r="G16" s="25">
        <f t="shared" ref="G16:G17" si="9">D16+F16</f>
        <v>79.698228733872725</v>
      </c>
      <c r="H16" s="40"/>
      <c r="I16" s="33">
        <f>+$C16/$C$20*H16</f>
        <v>0</v>
      </c>
      <c r="J16" s="34">
        <f t="shared" ref="J16:J17" si="10">+G16*I16</f>
        <v>0</v>
      </c>
      <c r="K16" s="45"/>
      <c r="L16" s="46">
        <f t="shared" ref="L16:L17" si="11">+$E16*(1-K16)</f>
        <v>109752</v>
      </c>
      <c r="M16" s="25">
        <f>$U$2*(MIN(L$16:L$17)/L16)</f>
        <v>59.698228733872732</v>
      </c>
      <c r="N16" s="25">
        <f t="shared" ref="N16:N17" si="12">$D16+M16</f>
        <v>79.698228733872725</v>
      </c>
      <c r="O16" s="42"/>
      <c r="P16" s="33">
        <f>+$C16/$C$20*O16</f>
        <v>0</v>
      </c>
      <c r="Q16" s="34">
        <f t="shared" ref="Q16:Q17" si="13">+N16*P16</f>
        <v>0</v>
      </c>
    </row>
    <row r="17" spans="1:17" s="3" customFormat="1" ht="35.1" customHeight="1" thickBot="1" x14ac:dyDescent="0.2">
      <c r="A17" s="114"/>
      <c r="B17" s="83" t="s">
        <v>38</v>
      </c>
      <c r="C17" s="22">
        <v>129120</v>
      </c>
      <c r="D17" s="23">
        <v>25</v>
      </c>
      <c r="E17" s="29">
        <v>93600</v>
      </c>
      <c r="F17" s="25">
        <f>$U$2*(MIN(E$16:E$17)/E17)</f>
        <v>70</v>
      </c>
      <c r="G17" s="30">
        <f t="shared" si="9"/>
        <v>95</v>
      </c>
      <c r="H17" s="41">
        <v>1</v>
      </c>
      <c r="I17" s="36">
        <f>+$C17/$C$20*H17</f>
        <v>0.13276301719174138</v>
      </c>
      <c r="J17" s="37">
        <f t="shared" si="10"/>
        <v>12.612486633215431</v>
      </c>
      <c r="K17" s="47"/>
      <c r="L17" s="48">
        <f t="shared" si="11"/>
        <v>93600</v>
      </c>
      <c r="M17" s="25">
        <f>$U$2*(MIN(L$16:L$17)/L17)</f>
        <v>70</v>
      </c>
      <c r="N17" s="30">
        <f t="shared" si="12"/>
        <v>95</v>
      </c>
      <c r="O17" s="41">
        <v>1</v>
      </c>
      <c r="P17" s="36">
        <f>+$C17/$C$20*O17</f>
        <v>0.13276301719174138</v>
      </c>
      <c r="Q17" s="37">
        <f t="shared" si="13"/>
        <v>12.612486633215431</v>
      </c>
    </row>
    <row r="18" spans="1:17" s="3" customFormat="1" ht="35.1" customHeight="1" thickBot="1" x14ac:dyDescent="0.2">
      <c r="A18" s="100" t="s">
        <v>26</v>
      </c>
      <c r="B18" s="83" t="s">
        <v>31</v>
      </c>
      <c r="C18" s="22">
        <v>416600</v>
      </c>
      <c r="D18" s="23">
        <v>27</v>
      </c>
      <c r="E18" s="24">
        <v>388776</v>
      </c>
      <c r="F18" s="25">
        <f>$U$2*(MIN(E$18:E$19)/E18)</f>
        <v>70</v>
      </c>
      <c r="G18" s="52">
        <f t="shared" si="0"/>
        <v>97</v>
      </c>
      <c r="H18" s="40">
        <v>1</v>
      </c>
      <c r="I18" s="33">
        <f>+$C18/$C$20*H18</f>
        <v>0.42835403471251132</v>
      </c>
      <c r="J18" s="34">
        <f t="shared" si="1"/>
        <v>41.550341367113596</v>
      </c>
      <c r="K18" s="45">
        <v>0.01</v>
      </c>
      <c r="L18" s="46">
        <f t="shared" si="2"/>
        <v>384888.24</v>
      </c>
      <c r="M18" s="25">
        <f>$U$2*(MIN(L$18:L$19)/L18)</f>
        <v>70</v>
      </c>
      <c r="N18" s="25">
        <f t="shared" si="3"/>
        <v>97</v>
      </c>
      <c r="O18" s="41">
        <v>1</v>
      </c>
      <c r="P18" s="33">
        <f>+$C18/$C$20*O18</f>
        <v>0.42835403471251132</v>
      </c>
      <c r="Q18" s="34">
        <f t="shared" si="4"/>
        <v>41.550341367113596</v>
      </c>
    </row>
    <row r="19" spans="1:17" s="3" customFormat="1" ht="35.1" customHeight="1" thickBot="1" x14ac:dyDescent="0.2">
      <c r="A19" s="114"/>
      <c r="B19" s="83" t="s">
        <v>39</v>
      </c>
      <c r="C19" s="22">
        <v>416600</v>
      </c>
      <c r="D19" s="23">
        <v>24</v>
      </c>
      <c r="E19" s="24">
        <v>399102.8</v>
      </c>
      <c r="F19" s="25">
        <f>$U$2*(MIN(E$18:E$19)/E19)</f>
        <v>68.188747360329216</v>
      </c>
      <c r="G19" s="52">
        <f t="shared" si="0"/>
        <v>92.188747360329216</v>
      </c>
      <c r="H19" s="41"/>
      <c r="I19" s="36">
        <f>+$C19/$C$20*H19</f>
        <v>0</v>
      </c>
      <c r="J19" s="37">
        <f t="shared" si="1"/>
        <v>0</v>
      </c>
      <c r="K19" s="47"/>
      <c r="L19" s="46">
        <f t="shared" si="2"/>
        <v>399102.8</v>
      </c>
      <c r="M19" s="25">
        <f>$U$2*(MIN(L$18:L$19)/L19)</f>
        <v>67.50685988672592</v>
      </c>
      <c r="N19" s="25">
        <f t="shared" si="3"/>
        <v>91.50685988672592</v>
      </c>
      <c r="O19" s="35"/>
      <c r="P19" s="36">
        <f>+$C19/$C$20*O19</f>
        <v>0</v>
      </c>
      <c r="Q19" s="37">
        <f t="shared" si="4"/>
        <v>0</v>
      </c>
    </row>
    <row r="20" spans="1:17" ht="42.75" customHeight="1" thickBot="1" x14ac:dyDescent="0.25">
      <c r="B20" s="38" t="s">
        <v>12</v>
      </c>
      <c r="C20" s="39">
        <f>C9+C10+C18+C16</f>
        <v>972560</v>
      </c>
      <c r="I20" s="50" t="s">
        <v>13</v>
      </c>
      <c r="J20" s="51">
        <f>SUM(J9:J19)</f>
        <v>89.757903539798747</v>
      </c>
      <c r="P20" s="50" t="s">
        <v>13</v>
      </c>
      <c r="Q20" s="51">
        <f>SUM(Q9:Q19)</f>
        <v>90.266771922226155</v>
      </c>
    </row>
    <row r="23" spans="1:17" ht="14.25" x14ac:dyDescent="0.2">
      <c r="A23" s="1" t="s">
        <v>2</v>
      </c>
    </row>
    <row r="24" spans="1:17" ht="14.25" x14ac:dyDescent="0.2">
      <c r="A24" s="1" t="s">
        <v>43</v>
      </c>
    </row>
    <row r="26" spans="1:17" ht="56.25" customHeight="1" x14ac:dyDescent="0.2">
      <c r="A26" s="117"/>
      <c r="B26" s="117"/>
      <c r="C26" s="117"/>
      <c r="D26" s="117"/>
      <c r="E26" s="117"/>
      <c r="F26" s="117"/>
      <c r="G26" s="117"/>
    </row>
  </sheetData>
  <mergeCells count="11">
    <mergeCell ref="P14:Q14"/>
    <mergeCell ref="A26:G26"/>
    <mergeCell ref="E7:J7"/>
    <mergeCell ref="K7:Q7"/>
    <mergeCell ref="A3:Q3"/>
    <mergeCell ref="A4:Q4"/>
    <mergeCell ref="A5:Q5"/>
    <mergeCell ref="A16:A17"/>
    <mergeCell ref="A18:A19"/>
    <mergeCell ref="E12:Q12"/>
    <mergeCell ref="F9:Q9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RTVE</dc:creator>
  <cp:lastModifiedBy>NURIA SANTOME RODRIGUEZ</cp:lastModifiedBy>
  <cp:lastPrinted>2021-11-19T11:28:43Z</cp:lastPrinted>
  <dcterms:created xsi:type="dcterms:W3CDTF">2007-03-30T09:59:06Z</dcterms:created>
  <dcterms:modified xsi:type="dcterms:W3CDTF">2025-09-12T07:25:53Z</dcterms:modified>
</cp:coreProperties>
</file>