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1.- EXPEDIENTES\S-03844-2025 (L) Accesorios para cámara compacta\INFORMES\"/>
    </mc:Choice>
  </mc:AlternateContent>
  <xr:revisionPtr revIDLastSave="0" documentId="13_ncr:1_{8ECCBA1E-A922-4733-AACF-0ED6BF650AAB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ADJUDICADA'!$A$1:$K$24</definedName>
    <definedName name="_xlnm.Print_Area" localSheetId="1">valoración!$A$2:$R$24</definedName>
  </definedNames>
  <calcPr calcId="191029"/>
</workbook>
</file>

<file path=xl/calcChain.xml><?xml version="1.0" encoding="utf-8"?>
<calcChain xmlns="http://schemas.openxmlformats.org/spreadsheetml/2006/main">
  <c r="O19" i="5" l="1"/>
  <c r="O13" i="5"/>
  <c r="G19" i="5"/>
  <c r="G13" i="5"/>
  <c r="J20" i="6" l="1"/>
  <c r="K10" i="6"/>
  <c r="K11" i="6"/>
  <c r="K12" i="6"/>
  <c r="K13" i="6"/>
  <c r="K14" i="6"/>
  <c r="K15" i="6"/>
  <c r="K16" i="6"/>
  <c r="K17" i="6"/>
  <c r="K18" i="6"/>
  <c r="K19" i="6"/>
  <c r="C20" i="6"/>
  <c r="H19" i="5"/>
  <c r="H13" i="5"/>
  <c r="M14" i="5"/>
  <c r="N19" i="5" s="1"/>
  <c r="M15" i="5"/>
  <c r="M16" i="5"/>
  <c r="M17" i="5"/>
  <c r="M18" i="5"/>
  <c r="M19" i="5"/>
  <c r="M10" i="5"/>
  <c r="M11" i="5"/>
  <c r="M12" i="5"/>
  <c r="N12" i="5" s="1"/>
  <c r="O12" i="5" s="1"/>
  <c r="M13" i="5"/>
  <c r="M9" i="5"/>
  <c r="N13" i="5" l="1"/>
  <c r="N11" i="5"/>
  <c r="O11" i="5" s="1"/>
  <c r="N15" i="5"/>
  <c r="O15" i="5" s="1"/>
  <c r="N10" i="5"/>
  <c r="O10" i="5" s="1"/>
  <c r="N18" i="5"/>
  <c r="O18" i="5" s="1"/>
  <c r="N17" i="5"/>
  <c r="O17" i="5" s="1"/>
  <c r="N16" i="5"/>
  <c r="O16" i="5" s="1"/>
  <c r="C20" i="5"/>
  <c r="G15" i="5"/>
  <c r="H15" i="5" s="1"/>
  <c r="G16" i="5"/>
  <c r="H16" i="5" s="1"/>
  <c r="G17" i="5"/>
  <c r="H17" i="5" s="1"/>
  <c r="G10" i="5"/>
  <c r="H10" i="5" s="1"/>
  <c r="G11" i="5"/>
  <c r="H11" i="5" s="1"/>
  <c r="G12" i="5"/>
  <c r="H12" i="5" s="1"/>
  <c r="R17" i="5" l="1"/>
  <c r="Q15" i="5"/>
  <c r="Q14" i="5"/>
  <c r="Q16" i="5"/>
  <c r="R16" i="5" s="1"/>
  <c r="Q13" i="5"/>
  <c r="R13" i="5" s="1"/>
  <c r="Q17" i="5"/>
  <c r="Q10" i="5"/>
  <c r="R10" i="5" s="1"/>
  <c r="Q18" i="5"/>
  <c r="R18" i="5" s="1"/>
  <c r="Q11" i="5"/>
  <c r="R11" i="5" s="1"/>
  <c r="Q9" i="5"/>
  <c r="Q12" i="5"/>
  <c r="R12" i="5" s="1"/>
  <c r="R15" i="5"/>
  <c r="K9" i="6"/>
  <c r="G18" i="5" l="1"/>
  <c r="H18" i="5" s="1"/>
  <c r="G14" i="5"/>
  <c r="H14" i="5" s="1"/>
  <c r="G9" i="5"/>
  <c r="H9" i="5" s="1"/>
  <c r="A4" i="6" l="1"/>
  <c r="A3" i="6"/>
  <c r="A2" i="6"/>
  <c r="J10" i="5" l="1"/>
  <c r="K10" i="5" s="1"/>
  <c r="J13" i="5"/>
  <c r="K13" i="5" s="1"/>
  <c r="J11" i="5"/>
  <c r="K11" i="5" s="1"/>
  <c r="J12" i="5"/>
  <c r="K12" i="5" s="1"/>
  <c r="J14" i="5"/>
  <c r="K14" i="5" s="1"/>
  <c r="J9" i="5"/>
  <c r="K9" i="5" s="1"/>
  <c r="J15" i="5"/>
  <c r="K15" i="5" s="1"/>
  <c r="J16" i="5"/>
  <c r="K16" i="5" s="1"/>
  <c r="J18" i="5"/>
  <c r="K18" i="5" s="1"/>
  <c r="J19" i="5"/>
  <c r="K19" i="5" s="1"/>
  <c r="J17" i="5"/>
  <c r="K17" i="5" s="1"/>
  <c r="N9" i="5"/>
  <c r="O9" i="5" s="1"/>
  <c r="R9" i="5" s="1"/>
  <c r="N14" i="5"/>
  <c r="K20" i="5" l="1"/>
  <c r="O14" i="5"/>
  <c r="R14" i="5" s="1"/>
  <c r="R20" i="5" l="1"/>
</calcChain>
</file>

<file path=xl/sharedStrings.xml><?xml version="1.0" encoding="utf-8"?>
<sst xmlns="http://schemas.openxmlformats.org/spreadsheetml/2006/main" count="74" uniqueCount="38">
  <si>
    <t>De conformidad con los criterios de valoración establecidos en el Pliego de Condiciones Generales de Contratación de este Expediente.</t>
  </si>
  <si>
    <t>RESUMEN PUNTUACIÓN TÉCNICA Y ECONÓMICA</t>
  </si>
  <si>
    <t>FÓRMULA PUNTUACIÓN ECONÓMICA: Adaptar a cada lote, estará condicionada por el número de ofertas y por los puntos que se dan a la oferta económica.</t>
  </si>
  <si>
    <t>Adaptar la tabla al número de lotes y ofertas recibidas, insertando o eliminando filas, tener  en cuenta si se desestima una oferta, indicar los motivos..</t>
  </si>
  <si>
    <t>Valor estimado total:</t>
  </si>
  <si>
    <t>Puntuación total ponderada</t>
  </si>
  <si>
    <t>Alternativa 1: ofertas individuales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</si>
  <si>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</si>
  <si>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</si>
  <si>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PUNTUACIÓN TECNICA</t>
  </si>
  <si>
    <t>PUNTUACIÓN TÉCNICA SUJETA A JUICIO DE VALOR</t>
  </si>
  <si>
    <t>PUNTUACIÓN TÉCNICA AUTOMÁTICA</t>
  </si>
  <si>
    <t>IMPORTE OFERTA</t>
  </si>
  <si>
    <t>PUNTUACION ECONÓMICA</t>
  </si>
  <si>
    <t>OFERTA SELECCIONADA</t>
  </si>
  <si>
    <t>FACTOR DE PONDERACIÓN</t>
  </si>
  <si>
    <t>VALORACION PONDERADA</t>
  </si>
  <si>
    <t>BAJA OFERTA CONJUNTA</t>
  </si>
  <si>
    <t>PUNTUACIÓN TOTAL</t>
  </si>
  <si>
    <t>%  AHORRO S/LICITACIÓN</t>
  </si>
  <si>
    <t>LOTES</t>
  </si>
  <si>
    <t>OFERTAS</t>
  </si>
  <si>
    <t>PROPUESTA DE ADJUDICACIÓN DEL EXPEDIENTE S-03844-2025</t>
  </si>
  <si>
    <t>"Accesorios para cámara compacta"</t>
  </si>
  <si>
    <t>VALOR ESTIMADO (Contrato)</t>
  </si>
  <si>
    <t>CEPROMA, SA</t>
  </si>
  <si>
    <t>TEDITRONIC, SL</t>
  </si>
  <si>
    <t>DATOS MEDIA TECHNOLOGIES, SA</t>
  </si>
  <si>
    <t>FOTO CASANOVA, S.L.</t>
  </si>
  <si>
    <t>BROAD SERVICE TECHNICAL SUPPORT, SL</t>
  </si>
  <si>
    <t>MAS QUE VIDEO PROFESIONAL, SA</t>
  </si>
  <si>
    <t>MONCADA Y LORENZO, SA</t>
  </si>
  <si>
    <t>Alternativa 2: oferta conjunta " FOTO CASANOVA " por los dos lotes (1% de descuento)</t>
  </si>
  <si>
    <r>
      <t xml:space="preserve">LOTE 1:  </t>
    </r>
    <r>
      <rPr>
        <b/>
        <sz val="11"/>
        <rFont val="Tahoma"/>
        <family val="2"/>
      </rPr>
      <t>OCULARES, HOMBRERAS Y ACCESORIOS</t>
    </r>
  </si>
  <si>
    <t>LOTE 2:  MONITORES 5” con brazo, cables y baterías</t>
  </si>
  <si>
    <t>LOTE 1:  OCULARES, HOMBRERAS Y ACCESORIOS</t>
  </si>
  <si>
    <t>Madrid, a 1 de noviembre  de 2025</t>
  </si>
  <si>
    <t>Madrid, a 3 de noviembre 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</si>
</sst>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8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0"/>
      <color theme="3" tint="-0.249977111117893"/>
      <name val="Tahoma"/>
      <family val="2"/>
    </font>
    <font>
      <b/>
      <sz val="12"/>
      <color theme="3" tint="-0.249977111117893"/>
      <name val="Tahoma"/>
      <family val="2"/>
    </font>
    <font>
      <b/>
      <sz val="10"/>
      <color indexed="56"/>
      <name val="Tahoma"/>
      <family val="2"/>
    </font>
    <font>
      <sz val="12"/>
      <color theme="3" tint="-0.249977111117893"/>
      <name val="Tahoma"/>
      <family val="2"/>
    </font>
    <font>
      <b/>
      <u/>
      <sz val="14"/>
      <color theme="3" tint="-0.249977111117893"/>
      <name val="Tahoma"/>
      <family val="2"/>
    </font>
    <font>
      <sz val="11"/>
      <color theme="3" tint="-0.249977111117893"/>
      <name val="Tahoma"/>
      <family val="2"/>
    </font>
    <font>
      <sz val="8"/>
      <color theme="3" tint="-0.249977111117893"/>
      <name val="Tahoma"/>
      <family val="2"/>
    </font>
    <font>
      <b/>
      <sz val="14"/>
      <color theme="3" tint="-0.249977111117893"/>
      <name val="Tahoma"/>
      <family val="2"/>
    </font>
    <font>
      <b/>
      <sz val="11"/>
      <color theme="3" tint="-0.249977111117893"/>
      <name val="Tahoma"/>
      <family val="2"/>
    </font>
    <font>
      <b/>
      <sz val="1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47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0" fontId="9" fillId="0" borderId="22" xfId="0" applyNumberFormat="1" applyFont="1" applyFill="1" applyBorder="1" applyAlignment="1">
      <alignment horizontal="right" vertical="center" wrapText="1"/>
    </xf>
    <xf numFmtId="166" fontId="16" fillId="0" borderId="22" xfId="0" applyNumberFormat="1" applyFont="1" applyFill="1" applyBorder="1" applyAlignment="1">
      <alignment horizontal="center" vertical="center"/>
    </xf>
    <xf numFmtId="0" fontId="15" fillId="0" borderId="25" xfId="0" applyNumberFormat="1" applyFont="1" applyFill="1" applyBorder="1" applyAlignment="1">
      <alignment horizontal="left" vertical="top" wrapText="1"/>
    </xf>
    <xf numFmtId="164" fontId="5" fillId="0" borderId="26" xfId="2" applyFont="1" applyFill="1" applyBorder="1" applyAlignment="1">
      <alignment horizontal="center" vertical="center"/>
    </xf>
    <xf numFmtId="0" fontId="0" fillId="3" borderId="0" xfId="0" applyFill="1"/>
    <xf numFmtId="0" fontId="4" fillId="3" borderId="0" xfId="0" applyFont="1" applyFill="1" applyBorder="1" applyAlignment="1">
      <alignment vertical="center" wrapText="1"/>
    </xf>
    <xf numFmtId="0" fontId="5" fillId="3" borderId="6" xfId="0" applyFont="1" applyFill="1" applyBorder="1"/>
    <xf numFmtId="0" fontId="13" fillId="0" borderId="0" xfId="0" applyFont="1" applyFill="1" applyBorder="1" applyAlignment="1">
      <alignment horizontal="center" vertical="center" wrapText="1"/>
    </xf>
    <xf numFmtId="166" fontId="16" fillId="0" borderId="0" xfId="0" applyNumberFormat="1" applyFont="1" applyFill="1" applyBorder="1" applyAlignment="1">
      <alignment horizontal="center" vertical="center"/>
    </xf>
    <xf numFmtId="0" fontId="9" fillId="5" borderId="5" xfId="0" applyFont="1" applyFill="1" applyBorder="1" applyAlignment="1">
      <alignment vertical="center" wrapText="1"/>
    </xf>
    <xf numFmtId="0" fontId="9" fillId="5" borderId="3" xfId="0" applyFont="1" applyFill="1" applyBorder="1" applyAlignment="1">
      <alignment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1" fillId="0" borderId="11" xfId="0" applyNumberFormat="1" applyFont="1" applyFill="1" applyBorder="1" applyAlignment="1">
      <alignment horizontal="center" vertical="center" wrapText="1"/>
    </xf>
    <xf numFmtId="166" fontId="21" fillId="0" borderId="28" xfId="0" applyNumberFormat="1" applyFont="1" applyFill="1" applyBorder="1" applyAlignment="1">
      <alignment horizontal="center" vertical="center"/>
    </xf>
    <xf numFmtId="166" fontId="21" fillId="0" borderId="33" xfId="0" applyNumberFormat="1" applyFont="1" applyFill="1" applyBorder="1" applyAlignment="1">
      <alignment horizontal="center" vertical="center"/>
    </xf>
    <xf numFmtId="166" fontId="21" fillId="0" borderId="37" xfId="0" applyNumberFormat="1" applyFont="1" applyFill="1" applyBorder="1" applyAlignment="1">
      <alignment horizontal="right" vertical="center" indent="1"/>
    </xf>
    <xf numFmtId="4" fontId="21" fillId="0" borderId="11" xfId="0" applyNumberFormat="1" applyFont="1" applyFill="1" applyBorder="1" applyAlignment="1">
      <alignment horizontal="right" vertical="center" indent="1"/>
    </xf>
    <xf numFmtId="4" fontId="21" fillId="0" borderId="13" xfId="0" applyNumberFormat="1" applyFont="1" applyFill="1" applyBorder="1" applyAlignment="1">
      <alignment horizontal="right" vertical="center" indent="1"/>
    </xf>
    <xf numFmtId="165" fontId="23" fillId="0" borderId="29" xfId="2" applyNumberFormat="1" applyFont="1" applyFill="1" applyBorder="1" applyAlignment="1">
      <alignment horizontal="center" vertical="center"/>
    </xf>
    <xf numFmtId="10" fontId="23" fillId="0" borderId="12" xfId="0" applyNumberFormat="1" applyFont="1" applyFill="1" applyBorder="1" applyAlignment="1">
      <alignment horizontal="center" vertical="center"/>
    </xf>
    <xf numFmtId="164" fontId="23" fillId="0" borderId="13" xfId="2" applyFont="1" applyFill="1" applyBorder="1" applyAlignment="1">
      <alignment horizontal="center" vertical="center"/>
    </xf>
    <xf numFmtId="9" fontId="23" fillId="0" borderId="11" xfId="3" applyFont="1" applyFill="1" applyBorder="1" applyAlignment="1">
      <alignment horizontal="center" vertical="center"/>
    </xf>
    <xf numFmtId="165" fontId="23" fillId="0" borderId="12" xfId="2" applyNumberFormat="1" applyFont="1" applyFill="1" applyBorder="1" applyAlignment="1">
      <alignment horizontal="center" vertical="center"/>
    </xf>
    <xf numFmtId="0" fontId="21" fillId="0" borderId="7" xfId="0" applyNumberFormat="1" applyFont="1" applyFill="1" applyBorder="1" applyAlignment="1">
      <alignment horizontal="center" vertical="center" wrapText="1"/>
    </xf>
    <xf numFmtId="166" fontId="21" fillId="0" borderId="34" xfId="0" applyNumberFormat="1" applyFont="1" applyFill="1" applyBorder="1" applyAlignment="1">
      <alignment horizontal="center" vertical="center"/>
    </xf>
    <xf numFmtId="166" fontId="21" fillId="0" borderId="38" xfId="0" applyNumberFormat="1" applyFont="1" applyFill="1" applyBorder="1" applyAlignment="1">
      <alignment horizontal="right" vertical="center" indent="1"/>
    </xf>
    <xf numFmtId="4" fontId="21" fillId="0" borderId="7" xfId="0" applyNumberFormat="1" applyFont="1" applyFill="1" applyBorder="1" applyAlignment="1">
      <alignment horizontal="right" vertical="center" indent="1"/>
    </xf>
    <xf numFmtId="165" fontId="23" fillId="0" borderId="31" xfId="2" applyNumberFormat="1" applyFont="1" applyFill="1" applyBorder="1" applyAlignment="1">
      <alignment horizontal="center" vertical="center"/>
    </xf>
    <xf numFmtId="10" fontId="23" fillId="0" borderId="2" xfId="0" applyNumberFormat="1" applyFont="1" applyFill="1" applyBorder="1" applyAlignment="1">
      <alignment horizontal="center" vertical="center"/>
    </xf>
    <xf numFmtId="164" fontId="23" fillId="0" borderId="14" xfId="2" applyFont="1" applyFill="1" applyBorder="1" applyAlignment="1">
      <alignment horizontal="center" vertical="center"/>
    </xf>
    <xf numFmtId="9" fontId="23" fillId="0" borderId="7" xfId="3" applyFont="1" applyFill="1" applyBorder="1" applyAlignment="1">
      <alignment horizontal="center" vertical="center"/>
    </xf>
    <xf numFmtId="0" fontId="24" fillId="0" borderId="2" xfId="0" applyFont="1" applyFill="1" applyBorder="1"/>
    <xf numFmtId="0" fontId="21" fillId="0" borderId="18" xfId="0" applyNumberFormat="1" applyFont="1" applyFill="1" applyBorder="1" applyAlignment="1">
      <alignment horizontal="center" vertical="center" wrapText="1"/>
    </xf>
    <xf numFmtId="166" fontId="21" fillId="0" borderId="35" xfId="0" applyNumberFormat="1" applyFont="1" applyFill="1" applyBorder="1" applyAlignment="1">
      <alignment horizontal="center" vertical="center"/>
    </xf>
    <xf numFmtId="0" fontId="21" fillId="0" borderId="15" xfId="0" applyNumberFormat="1" applyFont="1" applyFill="1" applyBorder="1" applyAlignment="1">
      <alignment horizontal="center" vertical="center" wrapText="1"/>
    </xf>
    <xf numFmtId="166" fontId="21" fillId="0" borderId="21" xfId="0" applyNumberFormat="1" applyFont="1" applyFill="1" applyBorder="1" applyAlignment="1">
      <alignment horizontal="center" vertical="center"/>
    </xf>
    <xf numFmtId="166" fontId="21" fillId="0" borderId="20" xfId="0" applyNumberFormat="1" applyFont="1" applyFill="1" applyBorder="1" applyAlignment="1">
      <alignment vertical="center"/>
    </xf>
    <xf numFmtId="4" fontId="21" fillId="0" borderId="15" xfId="0" applyNumberFormat="1" applyFont="1" applyFill="1" applyBorder="1" applyAlignment="1">
      <alignment horizontal="right" vertical="center" indent="1"/>
    </xf>
    <xf numFmtId="165" fontId="23" fillId="0" borderId="32" xfId="2" applyNumberFormat="1" applyFont="1" applyFill="1" applyBorder="1" applyAlignment="1">
      <alignment horizontal="center" vertical="center"/>
    </xf>
    <xf numFmtId="9" fontId="23" fillId="0" borderId="15" xfId="3" applyFont="1" applyFill="1" applyBorder="1" applyAlignment="1">
      <alignment horizontal="center" vertical="center"/>
    </xf>
    <xf numFmtId="165" fontId="23" fillId="0" borderId="11" xfId="2" applyNumberFormat="1" applyFont="1" applyFill="1" applyBorder="1" applyAlignment="1">
      <alignment horizontal="center" vertical="center"/>
    </xf>
    <xf numFmtId="0" fontId="24" fillId="0" borderId="12" xfId="0" applyFont="1" applyFill="1" applyBorder="1"/>
    <xf numFmtId="165" fontId="23" fillId="0" borderId="7" xfId="2" applyNumberFormat="1" applyFont="1" applyFill="1" applyBorder="1" applyAlignment="1">
      <alignment horizontal="center" vertical="center"/>
    </xf>
    <xf numFmtId="166" fontId="21" fillId="0" borderId="20" xfId="0" applyNumberFormat="1" applyFont="1" applyFill="1" applyBorder="1" applyAlignment="1">
      <alignment horizontal="right" vertical="center" indent="1"/>
    </xf>
    <xf numFmtId="165" fontId="23" fillId="0" borderId="15" xfId="2" applyNumberFormat="1" applyFont="1" applyFill="1" applyBorder="1" applyAlignment="1">
      <alignment horizontal="center" vertical="center"/>
    </xf>
    <xf numFmtId="165" fontId="23" fillId="0" borderId="16" xfId="2" applyNumberFormat="1" applyFont="1" applyFill="1" applyBorder="1" applyAlignment="1">
      <alignment horizontal="center" vertical="center"/>
    </xf>
    <xf numFmtId="0" fontId="18" fillId="4" borderId="30" xfId="0" applyFont="1" applyFill="1" applyBorder="1" applyAlignment="1">
      <alignment horizontal="center" vertical="center" wrapText="1"/>
    </xf>
    <xf numFmtId="0" fontId="18" fillId="4" borderId="36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166" fontId="21" fillId="0" borderId="12" xfId="0" applyNumberFormat="1" applyFont="1" applyFill="1" applyBorder="1" applyAlignment="1">
      <alignment horizontal="right" vertical="center" indent="1"/>
    </xf>
    <xf numFmtId="4" fontId="21" fillId="0" borderId="12" xfId="0" applyNumberFormat="1" applyFont="1" applyFill="1" applyBorder="1" applyAlignment="1">
      <alignment horizontal="right" vertical="center" indent="1"/>
    </xf>
    <xf numFmtId="4" fontId="21" fillId="0" borderId="27" xfId="0" applyNumberFormat="1" applyFont="1" applyFill="1" applyBorder="1" applyAlignment="1">
      <alignment horizontal="center" vertical="center"/>
    </xf>
    <xf numFmtId="166" fontId="21" fillId="0" borderId="2" xfId="0" applyNumberFormat="1" applyFont="1" applyFill="1" applyBorder="1" applyAlignment="1">
      <alignment horizontal="right" vertical="center" indent="1"/>
    </xf>
    <xf numFmtId="4" fontId="21" fillId="0" borderId="2" xfId="0" applyNumberFormat="1" applyFont="1" applyFill="1" applyBorder="1" applyAlignment="1">
      <alignment horizontal="right" vertical="center" indent="1"/>
    </xf>
    <xf numFmtId="0" fontId="15" fillId="0" borderId="25" xfId="0" applyNumberFormat="1" applyFont="1" applyFill="1" applyBorder="1" applyAlignment="1">
      <alignment horizontal="right" vertical="top" wrapText="1"/>
    </xf>
    <xf numFmtId="0" fontId="0" fillId="0" borderId="0" xfId="0" applyFill="1"/>
    <xf numFmtId="0" fontId="26" fillId="2" borderId="8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165" fontId="23" fillId="0" borderId="40" xfId="2" applyNumberFormat="1" applyFont="1" applyFill="1" applyBorder="1" applyAlignment="1">
      <alignment horizontal="center" vertical="center"/>
    </xf>
    <xf numFmtId="9" fontId="23" fillId="0" borderId="18" xfId="3" applyFont="1" applyFill="1" applyBorder="1" applyAlignment="1">
      <alignment horizontal="center" vertical="center"/>
    </xf>
    <xf numFmtId="166" fontId="21" fillId="0" borderId="42" xfId="0" applyNumberFormat="1" applyFont="1" applyFill="1" applyBorder="1" applyAlignment="1">
      <alignment horizontal="center" vertical="center"/>
    </xf>
    <xf numFmtId="166" fontId="21" fillId="0" borderId="44" xfId="0" applyNumberFormat="1" applyFont="1" applyFill="1" applyBorder="1" applyAlignment="1">
      <alignment horizontal="right" vertical="center" indent="1"/>
    </xf>
    <xf numFmtId="165" fontId="23" fillId="0" borderId="41" xfId="2" applyNumberFormat="1" applyFont="1" applyFill="1" applyBorder="1" applyAlignment="1">
      <alignment horizontal="center" vertical="center"/>
    </xf>
    <xf numFmtId="10" fontId="23" fillId="0" borderId="45" xfId="0" applyNumberFormat="1" applyFont="1" applyFill="1" applyBorder="1" applyAlignment="1">
      <alignment horizontal="center" vertical="center"/>
    </xf>
    <xf numFmtId="164" fontId="23" fillId="0" borderId="43" xfId="2" applyFont="1" applyFill="1" applyBorder="1" applyAlignment="1">
      <alignment horizontal="center" vertical="center"/>
    </xf>
    <xf numFmtId="9" fontId="23" fillId="0" borderId="41" xfId="3" applyFont="1" applyFill="1" applyBorder="1" applyAlignment="1">
      <alignment horizontal="center" vertical="center"/>
    </xf>
    <xf numFmtId="0" fontId="24" fillId="0" borderId="45" xfId="0" applyFont="1" applyFill="1" applyBorder="1"/>
    <xf numFmtId="166" fontId="21" fillId="0" borderId="37" xfId="0" applyNumberFormat="1" applyFont="1" applyFill="1" applyBorder="1" applyAlignment="1">
      <alignment vertical="center"/>
    </xf>
    <xf numFmtId="166" fontId="21" fillId="0" borderId="38" xfId="0" applyNumberFormat="1" applyFont="1" applyFill="1" applyBorder="1" applyAlignment="1">
      <alignment vertical="center"/>
    </xf>
    <xf numFmtId="166" fontId="21" fillId="0" borderId="39" xfId="0" applyNumberFormat="1" applyFont="1" applyFill="1" applyBorder="1" applyAlignment="1">
      <alignment vertical="center"/>
    </xf>
    <xf numFmtId="3" fontId="21" fillId="0" borderId="13" xfId="0" applyNumberFormat="1" applyFont="1" applyFill="1" applyBorder="1" applyAlignment="1">
      <alignment horizontal="center" vertical="center"/>
    </xf>
    <xf numFmtId="3" fontId="21" fillId="0" borderId="14" xfId="0" applyNumberFormat="1" applyFont="1" applyFill="1" applyBorder="1" applyAlignment="1">
      <alignment horizontal="center" vertical="center"/>
    </xf>
    <xf numFmtId="3" fontId="21" fillId="0" borderId="19" xfId="0" applyNumberFormat="1" applyFont="1" applyFill="1" applyBorder="1" applyAlignment="1">
      <alignment horizontal="center" vertical="center"/>
    </xf>
    <xf numFmtId="3" fontId="21" fillId="0" borderId="17" xfId="0" applyNumberFormat="1" applyFont="1" applyFill="1" applyBorder="1" applyAlignment="1">
      <alignment horizontal="center" vertical="center"/>
    </xf>
    <xf numFmtId="3" fontId="21" fillId="0" borderId="43" xfId="0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/>
    </xf>
    <xf numFmtId="0" fontId="24" fillId="0" borderId="16" xfId="0" applyFont="1" applyFill="1" applyBorder="1" applyAlignment="1">
      <alignment horizontal="center"/>
    </xf>
    <xf numFmtId="0" fontId="24" fillId="0" borderId="12" xfId="0" applyFont="1" applyFill="1" applyBorder="1" applyAlignment="1">
      <alignment horizontal="center"/>
    </xf>
    <xf numFmtId="0" fontId="24" fillId="0" borderId="45" xfId="0" applyFont="1" applyFill="1" applyBorder="1" applyAlignment="1">
      <alignment horizontal="center"/>
    </xf>
    <xf numFmtId="166" fontId="1" fillId="0" borderId="0" xfId="0" applyNumberFormat="1" applyFont="1" applyFill="1" applyBorder="1"/>
    <xf numFmtId="0" fontId="20" fillId="4" borderId="4" xfId="0" applyFont="1" applyFill="1" applyBorder="1" applyAlignment="1">
      <alignment vertical="center" wrapText="1"/>
    </xf>
    <xf numFmtId="0" fontId="20" fillId="4" borderId="22" xfId="0" applyFont="1" applyFill="1" applyBorder="1" applyAlignment="1">
      <alignment horizontal="center" vertical="center" wrapText="1"/>
    </xf>
    <xf numFmtId="4" fontId="21" fillId="6" borderId="13" xfId="0" applyNumberFormat="1" applyFont="1" applyFill="1" applyBorder="1" applyAlignment="1">
      <alignment horizontal="right" vertical="center" indent="1"/>
    </xf>
    <xf numFmtId="4" fontId="21" fillId="6" borderId="17" xfId="0" applyNumberFormat="1" applyFont="1" applyFill="1" applyBorder="1" applyAlignment="1">
      <alignment horizontal="right" vertical="center" indent="1"/>
    </xf>
    <xf numFmtId="0" fontId="15" fillId="6" borderId="25" xfId="0" applyNumberFormat="1" applyFont="1" applyFill="1" applyBorder="1" applyAlignment="1">
      <alignment horizontal="left" vertical="top" wrapText="1"/>
    </xf>
    <xf numFmtId="164" fontId="5" fillId="6" borderId="26" xfId="2" applyFont="1" applyFill="1" applyBorder="1" applyAlignment="1">
      <alignment horizontal="center" vertical="center"/>
    </xf>
    <xf numFmtId="4" fontId="1" fillId="0" borderId="0" xfId="0" applyNumberFormat="1" applyFont="1" applyFill="1" applyBorder="1"/>
    <xf numFmtId="4" fontId="3" fillId="0" borderId="0" xfId="0" applyNumberFormat="1" applyFont="1" applyFill="1" applyBorder="1"/>
    <xf numFmtId="166" fontId="21" fillId="0" borderId="45" xfId="0" applyNumberFormat="1" applyFont="1" applyFill="1" applyBorder="1" applyAlignment="1">
      <alignment horizontal="right" vertical="center" indent="1"/>
    </xf>
    <xf numFmtId="4" fontId="21" fillId="0" borderId="45" xfId="0" applyNumberFormat="1" applyFont="1" applyFill="1" applyBorder="1" applyAlignment="1">
      <alignment horizontal="right" vertical="center" indent="1"/>
    </xf>
    <xf numFmtId="165" fontId="23" fillId="0" borderId="45" xfId="2" applyNumberFormat="1" applyFont="1" applyFill="1" applyBorder="1" applyAlignment="1">
      <alignment horizontal="center" vertical="center"/>
    </xf>
    <xf numFmtId="0" fontId="21" fillId="6" borderId="15" xfId="0" applyNumberFormat="1" applyFont="1" applyFill="1" applyBorder="1" applyAlignment="1">
      <alignment horizontal="center" vertical="center" wrapText="1"/>
    </xf>
    <xf numFmtId="166" fontId="21" fillId="6" borderId="28" xfId="0" applyNumberFormat="1" applyFont="1" applyFill="1" applyBorder="1" applyAlignment="1">
      <alignment horizontal="center" vertical="center"/>
    </xf>
    <xf numFmtId="3" fontId="21" fillId="6" borderId="17" xfId="0" applyNumberFormat="1" applyFont="1" applyFill="1" applyBorder="1" applyAlignment="1">
      <alignment horizontal="center" vertical="center"/>
    </xf>
    <xf numFmtId="166" fontId="21" fillId="6" borderId="20" xfId="0" applyNumberFormat="1" applyFont="1" applyFill="1" applyBorder="1" applyAlignment="1">
      <alignment vertical="center"/>
    </xf>
    <xf numFmtId="166" fontId="21" fillId="6" borderId="2" xfId="0" applyNumberFormat="1" applyFont="1" applyFill="1" applyBorder="1" applyAlignment="1">
      <alignment horizontal="right" vertical="center" indent="1"/>
    </xf>
    <xf numFmtId="4" fontId="21" fillId="6" borderId="2" xfId="0" applyNumberFormat="1" applyFont="1" applyFill="1" applyBorder="1" applyAlignment="1">
      <alignment horizontal="right" vertical="center" indent="1"/>
    </xf>
    <xf numFmtId="165" fontId="23" fillId="6" borderId="16" xfId="2" applyNumberFormat="1" applyFont="1" applyFill="1" applyBorder="1" applyAlignment="1">
      <alignment horizontal="center" vertical="center"/>
    </xf>
    <xf numFmtId="10" fontId="23" fillId="6" borderId="2" xfId="0" applyNumberFormat="1" applyFont="1" applyFill="1" applyBorder="1" applyAlignment="1">
      <alignment horizontal="center" vertical="center"/>
    </xf>
    <xf numFmtId="164" fontId="23" fillId="6" borderId="14" xfId="2" applyFont="1" applyFill="1" applyBorder="1" applyAlignment="1">
      <alignment horizontal="center" vertical="center"/>
    </xf>
    <xf numFmtId="4" fontId="21" fillId="6" borderId="27" xfId="0" applyNumberFormat="1" applyFont="1" applyFill="1" applyBorder="1" applyAlignment="1">
      <alignment horizontal="center" vertical="center"/>
    </xf>
    <xf numFmtId="0" fontId="21" fillId="6" borderId="11" xfId="0" applyNumberFormat="1" applyFont="1" applyFill="1" applyBorder="1" applyAlignment="1">
      <alignment horizontal="center" vertical="center" wrapText="1"/>
    </xf>
    <xf numFmtId="166" fontId="21" fillId="6" borderId="20" xfId="0" applyNumberFormat="1" applyFont="1" applyFill="1" applyBorder="1" applyAlignment="1">
      <alignment horizontal="right" vertical="center" indent="1"/>
    </xf>
    <xf numFmtId="166" fontId="21" fillId="6" borderId="16" xfId="0" applyNumberFormat="1" applyFont="1" applyFill="1" applyBorder="1" applyAlignment="1">
      <alignment horizontal="right" vertical="center" indent="1"/>
    </xf>
    <xf numFmtId="4" fontId="21" fillId="6" borderId="16" xfId="0" applyNumberFormat="1" applyFont="1" applyFill="1" applyBorder="1" applyAlignment="1">
      <alignment horizontal="right" vertical="center" indent="1"/>
    </xf>
    <xf numFmtId="10" fontId="23" fillId="6" borderId="16" xfId="0" applyNumberFormat="1" applyFont="1" applyFill="1" applyBorder="1" applyAlignment="1">
      <alignment horizontal="center" vertical="center"/>
    </xf>
    <xf numFmtId="164" fontId="23" fillId="6" borderId="17" xfId="2" applyFont="1" applyFill="1" applyBorder="1" applyAlignment="1">
      <alignment horizontal="center" vertical="center"/>
    </xf>
    <xf numFmtId="4" fontId="0" fillId="0" borderId="0" xfId="0" applyNumberFormat="1"/>
    <xf numFmtId="0" fontId="19" fillId="5" borderId="1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25" fillId="3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7" fillId="0" borderId="23" xfId="2" applyNumberFormat="1" applyFont="1" applyFill="1" applyBorder="1" applyAlignment="1">
      <alignment horizontal="left" vertical="center"/>
    </xf>
    <xf numFmtId="165" fontId="17" fillId="0" borderId="24" xfId="2" applyNumberFormat="1" applyFont="1" applyFill="1" applyBorder="1" applyAlignment="1">
      <alignment horizontal="left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23" xfId="3" applyFont="1" applyFill="1" applyBorder="1" applyAlignment="1">
      <alignment horizontal="left" vertical="center"/>
    </xf>
    <xf numFmtId="9" fontId="17" fillId="0" borderId="24" xfId="3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9" fontId="17" fillId="3" borderId="23" xfId="3" applyFont="1" applyFill="1" applyBorder="1" applyAlignment="1">
      <alignment vertical="center"/>
    </xf>
    <xf numFmtId="9" fontId="17" fillId="3" borderId="24" xfId="3" applyFont="1" applyFill="1" applyBorder="1" applyAlignment="1">
      <alignment vertical="center"/>
    </xf>
    <xf numFmtId="0" fontId="3" fillId="3" borderId="0" xfId="0" applyFont="1" applyFill="1"/>
    <xf numFmtId="0" fontId="20" fillId="3" borderId="4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5"/>
  <sheetViews>
    <sheetView tabSelected="1" topLeftCell="A16" workbookViewId="0">
      <selection activeCell="N19" sqref="N19:Q19"/>
    </sheetView>
  </sheetViews>
  <sheetFormatPr baseColWidth="10" defaultRowHeight="12.5" x14ac:dyDescent="0.25"/>
  <cols>
    <col min="1" max="1" width="32.81640625" customWidth="1"/>
    <col min="2" max="2" width="29.7265625" customWidth="1"/>
    <col min="3" max="3" width="29.54296875" customWidth="1"/>
    <col min="4" max="4" width="21.1796875" customWidth="1"/>
    <col min="5" max="10" width="16.7265625" customWidth="1"/>
    <col min="11" max="11" width="16.1796875" customWidth="1"/>
    <col min="14" max="16" width="10.90625" customWidth="1"/>
  </cols>
  <sheetData>
    <row r="1" spans="1:16" ht="48" customHeight="1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6" ht="17.5" x14ac:dyDescent="0.35">
      <c r="A2" s="131" t="str">
        <f>valoración!A3</f>
        <v>PROPUESTA DE ADJUDICACIÓN DEL EXPEDIENTE S-03844-2025</v>
      </c>
      <c r="B2" s="131"/>
      <c r="C2" s="131"/>
      <c r="D2" s="131"/>
      <c r="E2" s="131"/>
      <c r="F2" s="131"/>
      <c r="G2" s="131"/>
      <c r="H2" s="131"/>
      <c r="I2" s="131"/>
      <c r="J2" s="131"/>
      <c r="K2" s="21"/>
    </row>
    <row r="3" spans="1:16" ht="17.5" x14ac:dyDescent="0.35">
      <c r="A3" s="131" t="str">
        <f>valoración!A4</f>
        <v>"Accesorios para cámara compacta"</v>
      </c>
      <c r="B3" s="131"/>
      <c r="C3" s="131"/>
      <c r="D3" s="131"/>
      <c r="E3" s="131"/>
      <c r="F3" s="131"/>
      <c r="G3" s="131"/>
      <c r="H3" s="131"/>
      <c r="I3" s="131"/>
      <c r="J3" s="131"/>
      <c r="K3" s="21"/>
    </row>
    <row r="4" spans="1:16" ht="17.5" x14ac:dyDescent="0.35">
      <c r="A4" s="131" t="str">
        <f>valoración!A5</f>
        <v>RESUMEN PUNTUACIÓN TÉCNICA Y ECONÓMICA</v>
      </c>
      <c r="B4" s="131"/>
      <c r="C4" s="131"/>
      <c r="D4" s="131"/>
      <c r="E4" s="131"/>
      <c r="F4" s="131"/>
      <c r="G4" s="131"/>
      <c r="H4" s="131"/>
      <c r="I4" s="131"/>
      <c r="J4" s="131"/>
      <c r="K4" s="21"/>
    </row>
    <row r="5" spans="1:16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6" ht="13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pans="1:16" ht="30.75" customHeight="1" thickBot="1" x14ac:dyDescent="0.3">
      <c r="A7" s="21"/>
      <c r="B7" s="21"/>
      <c r="C7" s="21"/>
      <c r="D7" s="146"/>
      <c r="E7" s="143" t="s">
        <v>6</v>
      </c>
      <c r="F7" s="143"/>
      <c r="G7" s="143"/>
      <c r="H7" s="143"/>
      <c r="I7" s="143"/>
      <c r="J7" s="144"/>
      <c r="K7" s="21"/>
    </row>
    <row r="8" spans="1:16" ht="38" thickBot="1" x14ac:dyDescent="0.3">
      <c r="A8" s="76" t="s">
        <v>20</v>
      </c>
      <c r="B8" s="76" t="s">
        <v>21</v>
      </c>
      <c r="C8" s="77" t="s">
        <v>24</v>
      </c>
      <c r="D8" s="29" t="s">
        <v>11</v>
      </c>
      <c r="E8" s="64" t="s">
        <v>12</v>
      </c>
      <c r="F8" s="65" t="s">
        <v>13</v>
      </c>
      <c r="G8" s="65" t="s">
        <v>18</v>
      </c>
      <c r="H8" s="66" t="s">
        <v>14</v>
      </c>
      <c r="I8" s="66" t="s">
        <v>15</v>
      </c>
      <c r="J8" s="67" t="s">
        <v>16</v>
      </c>
      <c r="K8" s="67" t="s">
        <v>19</v>
      </c>
    </row>
    <row r="9" spans="1:16" ht="35.15" customHeight="1" thickBot="1" x14ac:dyDescent="0.3">
      <c r="A9" s="128" t="s">
        <v>35</v>
      </c>
      <c r="B9" s="30" t="s">
        <v>25</v>
      </c>
      <c r="C9" s="31">
        <v>7300</v>
      </c>
      <c r="D9" s="90">
        <v>23</v>
      </c>
      <c r="E9" s="87">
        <v>5857</v>
      </c>
      <c r="F9" s="69">
        <v>64.418644357179446</v>
      </c>
      <c r="G9" s="70">
        <v>87.418644357179446</v>
      </c>
      <c r="H9" s="40"/>
      <c r="I9" s="37"/>
      <c r="J9" s="38"/>
      <c r="K9" s="71">
        <f>100-($E9*100/$C9)</f>
        <v>19.767123287671239</v>
      </c>
    </row>
    <row r="10" spans="1:16" ht="35.15" customHeight="1" thickBot="1" x14ac:dyDescent="0.3">
      <c r="A10" s="129"/>
      <c r="B10" s="41" t="s">
        <v>26</v>
      </c>
      <c r="C10" s="31">
        <v>7300</v>
      </c>
      <c r="D10" s="91">
        <v>13</v>
      </c>
      <c r="E10" s="88">
        <v>5863.66</v>
      </c>
      <c r="F10" s="108">
        <v>64.345477056991712</v>
      </c>
      <c r="G10" s="109">
        <v>77.345477056991712</v>
      </c>
      <c r="H10" s="110"/>
      <c r="I10" s="83"/>
      <c r="J10" s="84"/>
      <c r="K10" s="71">
        <f>100-($E10*100/$C10)</f>
        <v>19.6758904109589</v>
      </c>
    </row>
    <row r="11" spans="1:16" ht="35.15" customHeight="1" thickBot="1" x14ac:dyDescent="0.3">
      <c r="A11" s="129"/>
      <c r="B11" s="50" t="s">
        <v>27</v>
      </c>
      <c r="C11" s="31">
        <v>7300</v>
      </c>
      <c r="D11" s="92">
        <v>23</v>
      </c>
      <c r="E11" s="89">
        <v>5428.8</v>
      </c>
      <c r="F11" s="108">
        <v>69.499705275567337</v>
      </c>
      <c r="G11" s="109">
        <v>92.499705275567337</v>
      </c>
      <c r="H11" s="110"/>
      <c r="I11" s="83"/>
      <c r="J11" s="84"/>
      <c r="K11" s="71">
        <f>100-($E11*100/$C11)</f>
        <v>25.632876712328766</v>
      </c>
    </row>
    <row r="12" spans="1:16" ht="35.15" customHeight="1" thickBot="1" x14ac:dyDescent="0.3">
      <c r="A12" s="129"/>
      <c r="B12" s="50" t="s">
        <v>28</v>
      </c>
      <c r="C12" s="31">
        <v>7300</v>
      </c>
      <c r="D12" s="92">
        <v>23</v>
      </c>
      <c r="E12" s="89">
        <v>5542</v>
      </c>
      <c r="F12" s="72">
        <v>68.080115481775536</v>
      </c>
      <c r="G12" s="73">
        <v>91.080115481775536</v>
      </c>
      <c r="H12" s="49"/>
      <c r="I12" s="46"/>
      <c r="J12" s="47"/>
      <c r="K12" s="71">
        <f>100-($E12*100/$C12)</f>
        <v>24.082191780821915</v>
      </c>
    </row>
    <row r="13" spans="1:16" ht="43.5" customHeight="1" thickBot="1" x14ac:dyDescent="0.3">
      <c r="A13" s="130"/>
      <c r="B13" s="111" t="s">
        <v>29</v>
      </c>
      <c r="C13" s="112">
        <v>7300</v>
      </c>
      <c r="D13" s="113">
        <v>20</v>
      </c>
      <c r="E13" s="114">
        <v>4900</v>
      </c>
      <c r="F13" s="115">
        <v>77</v>
      </c>
      <c r="G13" s="116">
        <v>97</v>
      </c>
      <c r="H13" s="117">
        <v>1</v>
      </c>
      <c r="I13" s="118">
        <v>0.51048951048951052</v>
      </c>
      <c r="J13" s="119">
        <v>49.51748251748252</v>
      </c>
      <c r="K13" s="120">
        <f>100-($E13*100/$C13)</f>
        <v>32.876712328767127</v>
      </c>
      <c r="N13" s="127"/>
      <c r="P13" s="127"/>
    </row>
    <row r="14" spans="1:16" ht="35.15" customHeight="1" thickBot="1" x14ac:dyDescent="0.3">
      <c r="A14" s="128" t="s">
        <v>34</v>
      </c>
      <c r="B14" s="30" t="s">
        <v>25</v>
      </c>
      <c r="C14" s="31">
        <v>7000</v>
      </c>
      <c r="D14" s="90">
        <v>0</v>
      </c>
      <c r="E14" s="33">
        <v>5566.8</v>
      </c>
      <c r="F14" s="69">
        <v>64.042178630451971</v>
      </c>
      <c r="G14" s="70">
        <v>64.042178630451971</v>
      </c>
      <c r="H14" s="59"/>
      <c r="I14" s="37"/>
      <c r="J14" s="38"/>
      <c r="K14" s="71">
        <f>100-($E14*100/$C14)</f>
        <v>20.474285714285713</v>
      </c>
    </row>
    <row r="15" spans="1:16" ht="35.15" customHeight="1" thickBot="1" x14ac:dyDescent="0.3">
      <c r="A15" s="129"/>
      <c r="B15" s="30" t="s">
        <v>30</v>
      </c>
      <c r="C15" s="31">
        <v>7000</v>
      </c>
      <c r="D15" s="94">
        <v>13</v>
      </c>
      <c r="E15" s="81">
        <v>4826.6000000000004</v>
      </c>
      <c r="F15" s="108">
        <v>73.86358927609497</v>
      </c>
      <c r="G15" s="109">
        <v>86.86358927609497</v>
      </c>
      <c r="H15" s="86"/>
      <c r="I15" s="83"/>
      <c r="J15" s="84"/>
      <c r="K15" s="71">
        <f>100-($E15*100/$C15)</f>
        <v>31.048571428571421</v>
      </c>
    </row>
    <row r="16" spans="1:16" ht="35.15" customHeight="1" thickBot="1" x14ac:dyDescent="0.3">
      <c r="A16" s="129"/>
      <c r="B16" s="30" t="s">
        <v>31</v>
      </c>
      <c r="C16" s="31">
        <v>7000</v>
      </c>
      <c r="D16" s="94">
        <v>23</v>
      </c>
      <c r="E16" s="81">
        <v>5270</v>
      </c>
      <c r="F16" s="108">
        <v>67.648956356736235</v>
      </c>
      <c r="G16" s="109">
        <v>90.648956356736235</v>
      </c>
      <c r="H16" s="86"/>
      <c r="I16" s="83"/>
      <c r="J16" s="84"/>
      <c r="K16" s="71">
        <f>100-($E16*100/$C16)</f>
        <v>24.714285714285708</v>
      </c>
    </row>
    <row r="17" spans="1:16" ht="35.15" customHeight="1" thickBot="1" x14ac:dyDescent="0.3">
      <c r="A17" s="129"/>
      <c r="B17" s="30" t="s">
        <v>26</v>
      </c>
      <c r="C17" s="31">
        <v>7000</v>
      </c>
      <c r="D17" s="94">
        <v>3</v>
      </c>
      <c r="E17" s="81">
        <v>4976.3</v>
      </c>
      <c r="F17" s="108">
        <v>71.641581094387391</v>
      </c>
      <c r="G17" s="109">
        <v>74.641581094387391</v>
      </c>
      <c r="H17" s="86"/>
      <c r="I17" s="83"/>
      <c r="J17" s="84"/>
      <c r="K17" s="71">
        <f>100-($E17*100/$C17)</f>
        <v>28.909999999999997</v>
      </c>
    </row>
    <row r="18" spans="1:16" ht="35.15" customHeight="1" thickBot="1" x14ac:dyDescent="0.3">
      <c r="A18" s="129"/>
      <c r="B18" s="30" t="s">
        <v>28</v>
      </c>
      <c r="C18" s="31">
        <v>7000</v>
      </c>
      <c r="D18" s="91">
        <v>23</v>
      </c>
      <c r="E18" s="43">
        <v>5230</v>
      </c>
      <c r="F18" s="72">
        <v>68.166347992351817</v>
      </c>
      <c r="G18" s="73">
        <v>91.166347992351817</v>
      </c>
      <c r="H18" s="49"/>
      <c r="I18" s="46"/>
      <c r="J18" s="47"/>
      <c r="K18" s="71">
        <f>100-($E18*100/$C18)</f>
        <v>25.285714285714292</v>
      </c>
      <c r="N18" s="127"/>
      <c r="P18" s="127"/>
    </row>
    <row r="19" spans="1:16" ht="46.5" customHeight="1" thickBot="1" x14ac:dyDescent="0.3">
      <c r="A19" s="130"/>
      <c r="B19" s="121" t="s">
        <v>29</v>
      </c>
      <c r="C19" s="112">
        <v>7000</v>
      </c>
      <c r="D19" s="113">
        <v>23</v>
      </c>
      <c r="E19" s="122">
        <v>4630</v>
      </c>
      <c r="F19" s="123">
        <v>77</v>
      </c>
      <c r="G19" s="124">
        <v>100</v>
      </c>
      <c r="H19" s="117">
        <v>1</v>
      </c>
      <c r="I19" s="125">
        <v>0.48951048951048953</v>
      </c>
      <c r="J19" s="126">
        <v>48.951048951048953</v>
      </c>
      <c r="K19" s="120">
        <f>100-($E19*100/$C19)</f>
        <v>33.857142857142861</v>
      </c>
      <c r="N19" s="127"/>
      <c r="P19" s="127"/>
    </row>
    <row r="20" spans="1:16" ht="39.5" thickBot="1" x14ac:dyDescent="0.3">
      <c r="A20" s="22"/>
      <c r="B20" s="17" t="s">
        <v>4</v>
      </c>
      <c r="C20" s="18">
        <f>C9+C14</f>
        <v>14300</v>
      </c>
      <c r="D20" s="10"/>
      <c r="E20" s="10"/>
      <c r="F20" s="10"/>
      <c r="G20" s="10"/>
      <c r="H20" s="10"/>
      <c r="I20" s="74" t="s">
        <v>8</v>
      </c>
      <c r="J20" s="20">
        <f>J13+J19</f>
        <v>98.468531468531467</v>
      </c>
      <c r="K20" s="75"/>
    </row>
    <row r="21" spans="1:16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spans="1:16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</row>
    <row r="23" spans="1:16" ht="14" x14ac:dyDescent="0.3">
      <c r="A23" s="23" t="s">
        <v>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</row>
    <row r="24" spans="1:16" x14ac:dyDescent="0.25">
      <c r="A24" s="145" t="s">
        <v>37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</row>
    <row r="25" spans="1:16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</row>
  </sheetData>
  <mergeCells count="5">
    <mergeCell ref="A9:A13"/>
    <mergeCell ref="A14:A19"/>
    <mergeCell ref="A2:J2"/>
    <mergeCell ref="A3:J3"/>
    <mergeCell ref="A4:J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6"/>
  <sheetViews>
    <sheetView showGridLines="0" showZeros="0" zoomScale="90" zoomScaleNormal="90" workbookViewId="0">
      <selection activeCell="A24" sqref="A24"/>
    </sheetView>
  </sheetViews>
  <sheetFormatPr baseColWidth="10" defaultColWidth="11.453125" defaultRowHeight="15.5" x14ac:dyDescent="0.25"/>
  <cols>
    <col min="1" max="1" width="30.453125" style="9" customWidth="1"/>
    <col min="2" max="2" width="30.26953125" style="10" customWidth="1"/>
    <col min="3" max="3" width="29.81640625" style="10" customWidth="1"/>
    <col min="4" max="4" width="18.26953125" style="10" hidden="1" customWidth="1"/>
    <col min="5" max="5" width="17" style="10" customWidth="1"/>
    <col min="6" max="6" width="25.453125" style="10" customWidth="1"/>
    <col min="7" max="9" width="16.7265625" style="10" customWidth="1"/>
    <col min="10" max="10" width="20.453125" style="10" customWidth="1"/>
    <col min="11" max="11" width="17.7265625" style="10" customWidth="1"/>
    <col min="12" max="18" width="16.7265625" style="10" customWidth="1"/>
    <col min="19" max="16384" width="11.453125" style="10"/>
  </cols>
  <sheetData>
    <row r="1" spans="1:22" x14ac:dyDescent="0.25">
      <c r="U1" s="12" t="s">
        <v>2</v>
      </c>
    </row>
    <row r="2" spans="1:22" s="3" customFormat="1" ht="48" customHeight="1" x14ac:dyDescent="0.2">
      <c r="A2" s="2"/>
      <c r="E2" s="4"/>
      <c r="F2" s="4"/>
      <c r="G2" s="4"/>
      <c r="H2" s="4"/>
      <c r="I2" s="5"/>
      <c r="N2" s="11"/>
      <c r="U2" s="13" t="s">
        <v>7</v>
      </c>
      <c r="V2" s="14">
        <v>77</v>
      </c>
    </row>
    <row r="3" spans="1:22" s="3" customFormat="1" ht="22.5" customHeight="1" x14ac:dyDescent="0.2">
      <c r="A3" s="138" t="s">
        <v>22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U3" s="16" t="s">
        <v>3</v>
      </c>
    </row>
    <row r="4" spans="1:22" s="3" customFormat="1" ht="22.5" customHeight="1" x14ac:dyDescent="0.2">
      <c r="A4" s="138" t="s">
        <v>23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</row>
    <row r="5" spans="1:22" s="3" customFormat="1" ht="24.65" customHeight="1" x14ac:dyDescent="0.2">
      <c r="A5" s="138" t="s">
        <v>1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</row>
    <row r="6" spans="1:22" s="3" customFormat="1" ht="24.65" customHeight="1" thickBot="1" x14ac:dyDescent="0.25">
      <c r="A6" s="15"/>
      <c r="B6" s="15"/>
      <c r="C6" s="15"/>
      <c r="D6" s="24"/>
      <c r="E6" s="15"/>
      <c r="F6" s="15"/>
      <c r="G6" s="15"/>
      <c r="H6" s="15"/>
      <c r="I6" s="4"/>
    </row>
    <row r="7" spans="1:22" s="3" customFormat="1" ht="24.75" customHeight="1" thickBot="1" x14ac:dyDescent="0.4">
      <c r="A7" s="2"/>
      <c r="B7" s="6"/>
      <c r="C7" s="7"/>
      <c r="D7" s="100"/>
      <c r="E7" s="101" t="s">
        <v>9</v>
      </c>
      <c r="F7" s="133" t="s">
        <v>6</v>
      </c>
      <c r="G7" s="133"/>
      <c r="H7" s="133"/>
      <c r="I7" s="133"/>
      <c r="J7" s="133"/>
      <c r="K7" s="134"/>
      <c r="L7" s="135" t="s">
        <v>32</v>
      </c>
      <c r="M7" s="136"/>
      <c r="N7" s="136"/>
      <c r="O7" s="136"/>
      <c r="P7" s="136"/>
      <c r="Q7" s="136"/>
      <c r="R7" s="137"/>
    </row>
    <row r="8" spans="1:22" s="8" customFormat="1" ht="50.5" thickBot="1" x14ac:dyDescent="0.35">
      <c r="A8" s="76" t="s">
        <v>20</v>
      </c>
      <c r="B8" s="76" t="s">
        <v>21</v>
      </c>
      <c r="C8" s="77" t="s">
        <v>24</v>
      </c>
      <c r="D8" s="28" t="s">
        <v>10</v>
      </c>
      <c r="E8" s="29" t="s">
        <v>11</v>
      </c>
      <c r="F8" s="64" t="s">
        <v>12</v>
      </c>
      <c r="G8" s="65" t="s">
        <v>13</v>
      </c>
      <c r="H8" s="65" t="s">
        <v>18</v>
      </c>
      <c r="I8" s="66" t="s">
        <v>14</v>
      </c>
      <c r="J8" s="66" t="s">
        <v>15</v>
      </c>
      <c r="K8" s="67" t="s">
        <v>16</v>
      </c>
      <c r="L8" s="68" t="s">
        <v>17</v>
      </c>
      <c r="M8" s="64" t="s">
        <v>12</v>
      </c>
      <c r="N8" s="65" t="s">
        <v>13</v>
      </c>
      <c r="O8" s="65" t="s">
        <v>18</v>
      </c>
      <c r="P8" s="66" t="s">
        <v>14</v>
      </c>
      <c r="Q8" s="66" t="s">
        <v>15</v>
      </c>
      <c r="R8" s="67" t="s">
        <v>16</v>
      </c>
    </row>
    <row r="9" spans="1:22" s="3" customFormat="1" ht="35.15" customHeight="1" thickBot="1" x14ac:dyDescent="0.25">
      <c r="A9" s="141" t="s">
        <v>33</v>
      </c>
      <c r="B9" s="30" t="s">
        <v>25</v>
      </c>
      <c r="C9" s="31">
        <v>7300</v>
      </c>
      <c r="D9" s="32"/>
      <c r="E9" s="90">
        <v>23</v>
      </c>
      <c r="F9" s="87">
        <v>5857</v>
      </c>
      <c r="G9" s="34">
        <f>$V$2*(MIN(F$9:F$13)/F9)</f>
        <v>64.418644357179446</v>
      </c>
      <c r="H9" s="35">
        <f>$D9+$E9+G9</f>
        <v>87.418644357179446</v>
      </c>
      <c r="I9" s="36"/>
      <c r="J9" s="37">
        <f>+$C9/$C$20*I9</f>
        <v>0</v>
      </c>
      <c r="K9" s="38">
        <f t="shared" ref="K9:K19" si="0">+H9*J9</f>
        <v>0</v>
      </c>
      <c r="L9" s="39"/>
      <c r="M9" s="87">
        <f>+$F9*(1-L9)</f>
        <v>5857</v>
      </c>
      <c r="N9" s="34">
        <f>$V$2*(MIN(M$9:M$13)/M9)</f>
        <v>64.418644357179446</v>
      </c>
      <c r="O9" s="35">
        <f>$D9+$E9+N9</f>
        <v>87.418644357179446</v>
      </c>
      <c r="P9" s="40"/>
      <c r="Q9" s="37">
        <f>+$C9/$C$20*P9</f>
        <v>0</v>
      </c>
      <c r="R9" s="38">
        <f t="shared" ref="R9:R18" si="1">+O9*Q9</f>
        <v>0</v>
      </c>
    </row>
    <row r="10" spans="1:22" s="3" customFormat="1" ht="35.15" customHeight="1" thickBot="1" x14ac:dyDescent="0.25">
      <c r="A10" s="142"/>
      <c r="B10" s="41" t="s">
        <v>26</v>
      </c>
      <c r="C10" s="31">
        <v>7300</v>
      </c>
      <c r="D10" s="42"/>
      <c r="E10" s="91">
        <v>13</v>
      </c>
      <c r="F10" s="88">
        <v>5863.66</v>
      </c>
      <c r="G10" s="34">
        <f>$V$2*(MIN(F$9:F$13)/F10)</f>
        <v>64.345477056991712</v>
      </c>
      <c r="H10" s="35">
        <f>$D10+$E10+G10</f>
        <v>77.345477056991712</v>
      </c>
      <c r="I10" s="45"/>
      <c r="J10" s="37">
        <f t="shared" ref="J10:J13" si="2">+$C10/$C$20*I10</f>
        <v>0</v>
      </c>
      <c r="K10" s="38">
        <f t="shared" si="0"/>
        <v>0</v>
      </c>
      <c r="L10" s="48"/>
      <c r="M10" s="87">
        <f t="shared" ref="M10:M19" si="3">+$F10*(1-L10)</f>
        <v>5863.66</v>
      </c>
      <c r="N10" s="34">
        <f>$V$2*(MIN(M$9:M$13)/M10)</f>
        <v>64.345477056991712</v>
      </c>
      <c r="O10" s="35">
        <f>$D10+$E10+N10</f>
        <v>77.345477056991712</v>
      </c>
      <c r="P10" s="95"/>
      <c r="Q10" s="37">
        <f t="shared" ref="Q10:Q18" si="4">+$C10/$C$20*P10</f>
        <v>0</v>
      </c>
      <c r="R10" s="38">
        <f t="shared" si="1"/>
        <v>0</v>
      </c>
    </row>
    <row r="11" spans="1:22" s="3" customFormat="1" ht="35.15" customHeight="1" thickBot="1" x14ac:dyDescent="0.25">
      <c r="A11" s="142"/>
      <c r="B11" s="50" t="s">
        <v>27</v>
      </c>
      <c r="C11" s="31">
        <v>7300</v>
      </c>
      <c r="D11" s="51"/>
      <c r="E11" s="92">
        <v>23</v>
      </c>
      <c r="F11" s="89">
        <v>5428.8</v>
      </c>
      <c r="G11" s="34">
        <f>$V$2*(MIN(F$9:F$13)/F11)</f>
        <v>69.499705275567337</v>
      </c>
      <c r="H11" s="35">
        <f>$D11+$E11+G11</f>
        <v>92.499705275567337</v>
      </c>
      <c r="I11" s="45"/>
      <c r="J11" s="37">
        <f t="shared" si="2"/>
        <v>0</v>
      </c>
      <c r="K11" s="38">
        <f t="shared" si="0"/>
        <v>0</v>
      </c>
      <c r="L11" s="48"/>
      <c r="M11" s="87">
        <f t="shared" si="3"/>
        <v>5428.8</v>
      </c>
      <c r="N11" s="34">
        <f>$V$2*(MIN(M$9:M$13)/M11)</f>
        <v>69.499705275567337</v>
      </c>
      <c r="O11" s="35">
        <f>$D11+$E11+N11</f>
        <v>92.499705275567337</v>
      </c>
      <c r="P11" s="95"/>
      <c r="Q11" s="37">
        <f t="shared" si="4"/>
        <v>0</v>
      </c>
      <c r="R11" s="38">
        <f t="shared" si="1"/>
        <v>0</v>
      </c>
    </row>
    <row r="12" spans="1:22" s="3" customFormat="1" ht="35.15" customHeight="1" thickBot="1" x14ac:dyDescent="0.25">
      <c r="A12" s="142"/>
      <c r="B12" s="50" t="s">
        <v>28</v>
      </c>
      <c r="C12" s="31">
        <v>7300</v>
      </c>
      <c r="D12" s="51"/>
      <c r="E12" s="92">
        <v>23</v>
      </c>
      <c r="F12" s="89">
        <v>5542</v>
      </c>
      <c r="G12" s="34">
        <f>$V$2*(MIN(F$9:F$13)/F12)</f>
        <v>68.080115481775536</v>
      </c>
      <c r="H12" s="35">
        <f>$D12+$E12+G12</f>
        <v>91.080115481775536</v>
      </c>
      <c r="I12" s="78"/>
      <c r="J12" s="37">
        <f t="shared" si="2"/>
        <v>0</v>
      </c>
      <c r="K12" s="38">
        <f t="shared" si="0"/>
        <v>0</v>
      </c>
      <c r="L12" s="79">
        <v>0.01</v>
      </c>
      <c r="M12" s="87">
        <f t="shared" si="3"/>
        <v>5486.58</v>
      </c>
      <c r="N12" s="34">
        <f>$V$2*(MIN(M$9:M$13)/M12)</f>
        <v>68.767793415934889</v>
      </c>
      <c r="O12" s="35">
        <f>$D12+$E12+N12</f>
        <v>91.767793415934889</v>
      </c>
      <c r="P12" s="63">
        <v>1</v>
      </c>
      <c r="Q12" s="37">
        <f t="shared" si="4"/>
        <v>0.51048951048951052</v>
      </c>
      <c r="R12" s="38">
        <f t="shared" si="1"/>
        <v>46.84649593960313</v>
      </c>
      <c r="T12" s="99"/>
    </row>
    <row r="13" spans="1:22" s="3" customFormat="1" ht="35.15" customHeight="1" thickBot="1" x14ac:dyDescent="0.25">
      <c r="A13" s="27"/>
      <c r="B13" s="52" t="s">
        <v>29</v>
      </c>
      <c r="C13" s="31">
        <v>7300</v>
      </c>
      <c r="D13" s="53"/>
      <c r="E13" s="93">
        <v>20</v>
      </c>
      <c r="F13" s="54">
        <v>4900</v>
      </c>
      <c r="G13" s="34">
        <f>$V$2*(MIN(F$9:F$13)/F13)</f>
        <v>77</v>
      </c>
      <c r="H13" s="102">
        <f>$D13+$E13+G9:G13</f>
        <v>97</v>
      </c>
      <c r="I13" s="56">
        <v>1</v>
      </c>
      <c r="J13" s="37">
        <f t="shared" si="2"/>
        <v>0.51048951048951052</v>
      </c>
      <c r="K13" s="38">
        <f t="shared" si="0"/>
        <v>49.51748251748252</v>
      </c>
      <c r="L13" s="57"/>
      <c r="M13" s="87">
        <f t="shared" si="3"/>
        <v>4900</v>
      </c>
      <c r="N13" s="34">
        <f>$V$2*(MIN(M$9:M$13)/M13)</f>
        <v>77</v>
      </c>
      <c r="O13" s="35">
        <f>$D13+$E13+N9:N13</f>
        <v>97</v>
      </c>
      <c r="P13" s="96"/>
      <c r="Q13" s="37">
        <f t="shared" si="4"/>
        <v>0</v>
      </c>
      <c r="R13" s="38">
        <f t="shared" si="1"/>
        <v>0</v>
      </c>
      <c r="T13" s="99"/>
    </row>
    <row r="14" spans="1:22" s="3" customFormat="1" ht="35.15" customHeight="1" thickBot="1" x14ac:dyDescent="0.25">
      <c r="A14" s="139" t="s">
        <v>34</v>
      </c>
      <c r="B14" s="30" t="s">
        <v>25</v>
      </c>
      <c r="C14" s="31">
        <v>7000</v>
      </c>
      <c r="D14" s="32"/>
      <c r="E14" s="90">
        <v>0</v>
      </c>
      <c r="F14" s="33">
        <v>5566.8</v>
      </c>
      <c r="G14" s="34">
        <f t="shared" ref="G14:G19" si="5">$V$2*(MIN(F$14:F$19)/F14)</f>
        <v>64.042178630451971</v>
      </c>
      <c r="H14" s="35">
        <f>$D14+$E14+G14</f>
        <v>64.042178630451971</v>
      </c>
      <c r="I14" s="58"/>
      <c r="J14" s="37">
        <f>+$C14/$C$20*I14</f>
        <v>0</v>
      </c>
      <c r="K14" s="38">
        <f t="shared" si="0"/>
        <v>0</v>
      </c>
      <c r="L14" s="39"/>
      <c r="M14" s="87">
        <f t="shared" si="3"/>
        <v>5566.8</v>
      </c>
      <c r="N14" s="34">
        <f t="shared" ref="N14:N19" si="6">$V$2*(MIN(M$14:M$19)/M14)</f>
        <v>64.042178630451971</v>
      </c>
      <c r="O14" s="35">
        <f>$D14+$E14+N14</f>
        <v>64.042178630451971</v>
      </c>
      <c r="P14" s="97"/>
      <c r="Q14" s="37">
        <f t="shared" si="4"/>
        <v>0</v>
      </c>
      <c r="R14" s="38">
        <f t="shared" si="1"/>
        <v>0</v>
      </c>
      <c r="T14" s="106"/>
    </row>
    <row r="15" spans="1:22" s="3" customFormat="1" ht="35.15" customHeight="1" thickBot="1" x14ac:dyDescent="0.25">
      <c r="A15" s="140"/>
      <c r="B15" s="30" t="s">
        <v>30</v>
      </c>
      <c r="C15" s="31">
        <v>7000</v>
      </c>
      <c r="D15" s="80"/>
      <c r="E15" s="94">
        <v>13</v>
      </c>
      <c r="F15" s="81">
        <v>4826.6000000000004</v>
      </c>
      <c r="G15" s="34">
        <f t="shared" si="5"/>
        <v>73.86358927609497</v>
      </c>
      <c r="H15" s="35">
        <f>$D15+$E15+G15</f>
        <v>86.86358927609497</v>
      </c>
      <c r="I15" s="82"/>
      <c r="J15" s="37">
        <f t="shared" ref="J15:J19" si="7">+$C15/$C$20*I15</f>
        <v>0</v>
      </c>
      <c r="K15" s="38">
        <f t="shared" si="0"/>
        <v>0</v>
      </c>
      <c r="L15" s="85"/>
      <c r="M15" s="87">
        <f t="shared" si="3"/>
        <v>4826.6000000000004</v>
      </c>
      <c r="N15" s="34">
        <f t="shared" si="6"/>
        <v>73.86358927609497</v>
      </c>
      <c r="O15" s="35">
        <f>$D15+$E15+N15</f>
        <v>86.86358927609497</v>
      </c>
      <c r="P15" s="98"/>
      <c r="Q15" s="37">
        <f t="shared" si="4"/>
        <v>0</v>
      </c>
      <c r="R15" s="38">
        <f t="shared" si="1"/>
        <v>0</v>
      </c>
    </row>
    <row r="16" spans="1:22" s="3" customFormat="1" ht="35.15" customHeight="1" thickBot="1" x14ac:dyDescent="0.25">
      <c r="A16" s="140"/>
      <c r="B16" s="30" t="s">
        <v>31</v>
      </c>
      <c r="C16" s="31">
        <v>7000</v>
      </c>
      <c r="D16" s="80"/>
      <c r="E16" s="94">
        <v>23</v>
      </c>
      <c r="F16" s="81">
        <v>5270</v>
      </c>
      <c r="G16" s="34">
        <f t="shared" si="5"/>
        <v>67.648956356736235</v>
      </c>
      <c r="H16" s="35">
        <f>$D16+$E16+G16</f>
        <v>90.648956356736235</v>
      </c>
      <c r="I16" s="82"/>
      <c r="J16" s="37">
        <f t="shared" si="7"/>
        <v>0</v>
      </c>
      <c r="K16" s="38">
        <f t="shared" si="0"/>
        <v>0</v>
      </c>
      <c r="L16" s="85"/>
      <c r="M16" s="87">
        <f t="shared" si="3"/>
        <v>5270</v>
      </c>
      <c r="N16" s="34">
        <f t="shared" si="6"/>
        <v>67.648956356736235</v>
      </c>
      <c r="O16" s="35">
        <f>$D16+$E16+N16</f>
        <v>90.648956356736235</v>
      </c>
      <c r="P16" s="98"/>
      <c r="Q16" s="37">
        <f t="shared" si="4"/>
        <v>0</v>
      </c>
      <c r="R16" s="38">
        <f t="shared" si="1"/>
        <v>0</v>
      </c>
      <c r="T16" s="106"/>
    </row>
    <row r="17" spans="1:20" s="3" customFormat="1" ht="35.15" customHeight="1" thickBot="1" x14ac:dyDescent="0.25">
      <c r="A17" s="140"/>
      <c r="B17" s="30" t="s">
        <v>26</v>
      </c>
      <c r="C17" s="31">
        <v>7000</v>
      </c>
      <c r="D17" s="80"/>
      <c r="E17" s="94">
        <v>3</v>
      </c>
      <c r="F17" s="81">
        <v>4976.3</v>
      </c>
      <c r="G17" s="34">
        <f t="shared" si="5"/>
        <v>71.641581094387391</v>
      </c>
      <c r="H17" s="35">
        <f>$D17+$E17+G17</f>
        <v>74.641581094387391</v>
      </c>
      <c r="I17" s="82"/>
      <c r="J17" s="37">
        <f t="shared" si="7"/>
        <v>0</v>
      </c>
      <c r="K17" s="38">
        <f t="shared" si="0"/>
        <v>0</v>
      </c>
      <c r="L17" s="85"/>
      <c r="M17" s="87">
        <f t="shared" si="3"/>
        <v>4976.3</v>
      </c>
      <c r="N17" s="34">
        <f t="shared" si="6"/>
        <v>71.641581094387391</v>
      </c>
      <c r="O17" s="35">
        <f>$D17+$E17+N17</f>
        <v>74.641581094387391</v>
      </c>
      <c r="P17" s="98"/>
      <c r="Q17" s="37">
        <f t="shared" si="4"/>
        <v>0</v>
      </c>
      <c r="R17" s="38">
        <f t="shared" si="1"/>
        <v>0</v>
      </c>
    </row>
    <row r="18" spans="1:20" s="3" customFormat="1" ht="35.15" customHeight="1" thickBot="1" x14ac:dyDescent="0.25">
      <c r="A18" s="26"/>
      <c r="B18" s="30" t="s">
        <v>28</v>
      </c>
      <c r="C18" s="31">
        <v>7000</v>
      </c>
      <c r="D18" s="42"/>
      <c r="E18" s="91">
        <v>23</v>
      </c>
      <c r="F18" s="43">
        <v>5230</v>
      </c>
      <c r="G18" s="44">
        <f t="shared" si="5"/>
        <v>68.166347992351817</v>
      </c>
      <c r="H18" s="35">
        <f>$D18+$E18+G18</f>
        <v>91.166347992351817</v>
      </c>
      <c r="I18" s="60"/>
      <c r="J18" s="37">
        <f t="shared" si="7"/>
        <v>0</v>
      </c>
      <c r="K18" s="38">
        <f t="shared" si="0"/>
        <v>0</v>
      </c>
      <c r="L18" s="48">
        <v>0.01</v>
      </c>
      <c r="M18" s="87">
        <f t="shared" si="3"/>
        <v>5177.7</v>
      </c>
      <c r="N18" s="34">
        <f t="shared" si="6"/>
        <v>68.854896961971534</v>
      </c>
      <c r="O18" s="35">
        <f>$D18+$E18+N18</f>
        <v>91.854896961971534</v>
      </c>
      <c r="P18" s="63">
        <v>1</v>
      </c>
      <c r="Q18" s="37">
        <f t="shared" si="4"/>
        <v>0.48951048951048953</v>
      </c>
      <c r="R18" s="38">
        <f t="shared" si="1"/>
        <v>44.963935575790266</v>
      </c>
      <c r="T18" s="106"/>
    </row>
    <row r="19" spans="1:20" s="3" customFormat="1" ht="35.15" customHeight="1" thickBot="1" x14ac:dyDescent="0.25">
      <c r="A19" s="27"/>
      <c r="B19" s="30" t="s">
        <v>29</v>
      </c>
      <c r="C19" s="31">
        <v>7000</v>
      </c>
      <c r="D19" s="53"/>
      <c r="E19" s="93">
        <v>23</v>
      </c>
      <c r="F19" s="61">
        <v>4630</v>
      </c>
      <c r="G19" s="55">
        <f>$V$2*(MIN(F$14:F$19)/F19)</f>
        <v>77</v>
      </c>
      <c r="H19" s="103">
        <f>$D19+$E19+G14:G19</f>
        <v>100</v>
      </c>
      <c r="I19" s="62">
        <v>1</v>
      </c>
      <c r="J19" s="37">
        <f t="shared" si="7"/>
        <v>0.48951048951048953</v>
      </c>
      <c r="K19" s="38">
        <f t="shared" si="0"/>
        <v>48.951048951048953</v>
      </c>
      <c r="L19" s="57"/>
      <c r="M19" s="87">
        <f t="shared" si="3"/>
        <v>4630</v>
      </c>
      <c r="N19" s="34">
        <f t="shared" si="6"/>
        <v>77</v>
      </c>
      <c r="O19" s="35">
        <f>$D19+$E19+N14:N19</f>
        <v>100</v>
      </c>
      <c r="P19" s="63"/>
      <c r="Q19" s="37"/>
      <c r="R19" s="38"/>
    </row>
    <row r="20" spans="1:20" ht="42.75" customHeight="1" thickBot="1" x14ac:dyDescent="0.3">
      <c r="B20" s="17" t="s">
        <v>4</v>
      </c>
      <c r="C20" s="18">
        <f>C9+C14</f>
        <v>14300</v>
      </c>
      <c r="D20" s="25"/>
      <c r="J20" s="104" t="s">
        <v>5</v>
      </c>
      <c r="K20" s="105">
        <f>SUM(K9:K19)</f>
        <v>98.468531468531467</v>
      </c>
      <c r="Q20" s="19" t="s">
        <v>5</v>
      </c>
      <c r="R20" s="20">
        <f>SUM(R9:R19)</f>
        <v>91.81043151539339</v>
      </c>
      <c r="T20" s="107"/>
    </row>
    <row r="23" spans="1:20" ht="14" x14ac:dyDescent="0.3">
      <c r="A23" s="1" t="s">
        <v>0</v>
      </c>
    </row>
    <row r="24" spans="1:20" ht="14" x14ac:dyDescent="0.3">
      <c r="A24" s="1" t="s">
        <v>36</v>
      </c>
    </row>
    <row r="26" spans="1:20" ht="56.25" customHeight="1" x14ac:dyDescent="0.25">
      <c r="A26" s="132"/>
      <c r="B26" s="132"/>
      <c r="C26" s="132"/>
      <c r="D26" s="132"/>
      <c r="E26" s="132"/>
      <c r="F26" s="132"/>
      <c r="G26" s="132"/>
      <c r="H26" s="132"/>
    </row>
  </sheetData>
  <mergeCells count="8">
    <mergeCell ref="A26:H26"/>
    <mergeCell ref="F7:K7"/>
    <mergeCell ref="L7:R7"/>
    <mergeCell ref="A3:R3"/>
    <mergeCell ref="A4:R4"/>
    <mergeCell ref="A5:R5"/>
    <mergeCell ref="A14:A17"/>
    <mergeCell ref="A9:A12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RTVE</dc:creator>
  <cp:lastModifiedBy>MARIA DOLORES PEREZ CASELLES</cp:lastModifiedBy>
  <cp:lastPrinted>2021-11-19T11:28:43Z</cp:lastPrinted>
  <dcterms:created xsi:type="dcterms:W3CDTF">2007-03-30T09:59:06Z</dcterms:created>
  <dcterms:modified xsi:type="dcterms:W3CDTF">2025-11-03T12:50:15Z</dcterms:modified>
</cp:coreProperties>
</file>